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240" yWindow="180" windowWidth="11220" windowHeight="8550" firstSheet="1" activeTab="1"/>
  </bookViews>
  <sheets>
    <sheet name="NUMEROTATION" sheetId="122" r:id="rId1"/>
    <sheet name="Objectifs CO2" sheetId="2" r:id="rId2"/>
    <sheet name="Objectifs ECO" sheetId="52" r:id="rId3"/>
    <sheet name="Objectifs PER" sheetId="53" r:id="rId4"/>
    <sheet name="Synthèse CO2" sheetId="10" r:id="rId5"/>
    <sheet name="Synthèse ECO" sheetId="50" r:id="rId6"/>
    <sheet name="Synthèse PER" sheetId="51" r:id="rId7"/>
    <sheet name="BUDGET ATTE" sheetId="47" r:id="rId8"/>
    <sheet name="BUDGET ADAPT" sheetId="99" r:id="rId9"/>
    <sheet name="CALENDRIER" sheetId="80" r:id="rId10"/>
    <sheet name="PRIORITES" sheetId="118" r:id="rId11"/>
    <sheet name="ADO-1" sheetId="86" r:id="rId12"/>
    <sheet name="ADO-2" sheetId="87" r:id="rId13"/>
    <sheet name="ADO-3" sheetId="7" r:id="rId14"/>
    <sheet name="ADO-4" sheetId="81" r:id="rId15"/>
    <sheet name="ADO-5" sheetId="82" r:id="rId16"/>
    <sheet name="ADO-6" sheetId="13" r:id="rId17"/>
    <sheet name="ADO-7" sheetId="130" r:id="rId18"/>
    <sheet name="ADO-8" sheetId="131" r:id="rId19"/>
    <sheet name="ADO-9" sheetId="132" r:id="rId20"/>
    <sheet name="ADO-10" sheetId="147" r:id="rId21"/>
    <sheet name="ADO-11" sheetId="148" r:id="rId22"/>
    <sheet name="ADO-20" sheetId="36" r:id="rId23"/>
    <sheet name="ADO-21" sheetId="3" r:id="rId24"/>
    <sheet name="ADO-22" sheetId="5" r:id="rId25"/>
    <sheet name="ADO-23" sheetId="6" r:id="rId26"/>
    <sheet name="ADO-24" sheetId="92" r:id="rId27"/>
    <sheet name="ADO-25" sheetId="14" r:id="rId28"/>
    <sheet name="ADO-26" sheetId="88" r:id="rId29"/>
    <sheet name="ADO-27" sheetId="12" r:id="rId30"/>
    <sheet name="ADO-28" sheetId="11" r:id="rId31"/>
    <sheet name="ADO-29" sheetId="133" r:id="rId32"/>
    <sheet name="ADO-30" sheetId="134" r:id="rId33"/>
    <sheet name="ADO-31" sheetId="135" r:id="rId34"/>
    <sheet name="ADO-32" sheetId="136" r:id="rId35"/>
    <sheet name="ADO-33" sheetId="137" r:id="rId36"/>
    <sheet name="ADO-34" sheetId="145" r:id="rId37"/>
    <sheet name="ADO-35" sheetId="146" r:id="rId38"/>
    <sheet name="ADO-36" sheetId="149" r:id="rId39"/>
    <sheet name="ADO-39" sheetId="151" r:id="rId40"/>
    <sheet name="ADO-40" sheetId="48" r:id="rId41"/>
    <sheet name="ADO-41" sheetId="1" r:id="rId42"/>
    <sheet name="ADU-1" sheetId="79" r:id="rId43"/>
    <sheet name="ADU-2" sheetId="120" r:id="rId44"/>
    <sheet name="ADU-3" sheetId="17" r:id="rId45"/>
    <sheet name="ADU-4" sheetId="18" r:id="rId46"/>
    <sheet name="ADU-5" sheetId="76" r:id="rId47"/>
    <sheet name="ADU-6" sheetId="78" r:id="rId48"/>
    <sheet name="ADU-7" sheetId="21" r:id="rId49"/>
    <sheet name="ADU-8" sheetId="22" r:id="rId50"/>
    <sheet name="ADU-9" sheetId="69" r:id="rId51"/>
    <sheet name="ADU-10" sheetId="24" r:id="rId52"/>
    <sheet name="ADU-11" sheetId="26" r:id="rId53"/>
    <sheet name="ADU-12" sheetId="94" r:id="rId54"/>
    <sheet name="ADU-13" sheetId="27" r:id="rId55"/>
    <sheet name="ADU-14" sheetId="28" r:id="rId56"/>
    <sheet name="ADU-15" sheetId="43" r:id="rId57"/>
    <sheet name="ADU-16" sheetId="75" r:id="rId58"/>
    <sheet name="ADU-17" sheetId="83" r:id="rId59"/>
    <sheet name="ADU-18" sheetId="84" r:id="rId60"/>
    <sheet name="ADU-19" sheetId="85" r:id="rId61"/>
    <sheet name="ADU-20" sheetId="25" r:id="rId62"/>
    <sheet name="ADU-21" sheetId="121" r:id="rId63"/>
    <sheet name="ADU-22" sheetId="41" r:id="rId64"/>
    <sheet name="ADU-23" sheetId="42" r:id="rId65"/>
    <sheet name="ADU-24" sheetId="95" r:id="rId66"/>
    <sheet name="ADU-25" sheetId="138" r:id="rId67"/>
    <sheet name="ADU-26" sheetId="155" r:id="rId68"/>
    <sheet name="ADU-27" sheetId="156" r:id="rId69"/>
    <sheet name="ADU-28" sheetId="157" r:id="rId70"/>
    <sheet name="ADU-30" sheetId="123" r:id="rId71"/>
    <sheet name="ADU-31" sheetId="124" r:id="rId72"/>
    <sheet name="ADU-32" sheetId="125" r:id="rId73"/>
    <sheet name="ADU-33" sheetId="126" r:id="rId74"/>
    <sheet name="ADU-34" sheetId="158" r:id="rId75"/>
    <sheet name="ADU-35" sheetId="159" r:id="rId76"/>
    <sheet name="ADU-50" sheetId="45" r:id="rId77"/>
    <sheet name="ADU-51" sheetId="46" r:id="rId78"/>
    <sheet name="ADU-52" sheetId="54" r:id="rId79"/>
    <sheet name="ADU-53" sheetId="55" r:id="rId80"/>
    <sheet name="ADU-54" sheetId="119" r:id="rId81"/>
    <sheet name="ADU-55" sheetId="57" r:id="rId82"/>
    <sheet name="ADU-56" sheetId="56" r:id="rId83"/>
    <sheet name="ADU-57" sheetId="141" r:id="rId84"/>
    <sheet name="ADU-58" sheetId="142" r:id="rId85"/>
    <sheet name="ADU-59" sheetId="143" r:id="rId86"/>
    <sheet name="ADU-60" sheetId="144" r:id="rId87"/>
    <sheet name="ADU-61" sheetId="152" r:id="rId88"/>
    <sheet name="ADU-62" sheetId="154" r:id="rId89"/>
    <sheet name="ADU-63" sheetId="160" r:id="rId90"/>
    <sheet name="ADU-64" sheetId="161" r:id="rId91"/>
    <sheet name="ADU-65" sheetId="162" r:id="rId92"/>
    <sheet name="ADU-70" sheetId="16" r:id="rId93"/>
    <sheet name="ADU-71" sheetId="30" r:id="rId94"/>
    <sheet name="ADU-72" sheetId="29" r:id="rId95"/>
    <sheet name="ADU-73" sheetId="31" r:id="rId96"/>
    <sheet name="ADU-74" sheetId="32" r:id="rId97"/>
    <sheet name="ADU-75" sheetId="33" r:id="rId98"/>
    <sheet name="ADU-76" sheetId="34" r:id="rId99"/>
    <sheet name="ADU-77" sheetId="128" r:id="rId100"/>
    <sheet name="ADU-80" sheetId="72" r:id="rId101"/>
    <sheet name="ADU-81" sheetId="35" r:id="rId102"/>
    <sheet name="ADU-82" sheetId="37" r:id="rId103"/>
    <sheet name="ADU-83" sheetId="127" r:id="rId104"/>
    <sheet name="ADU-90" sheetId="44" r:id="rId105"/>
    <sheet name="ADU-91" sheetId="39" r:id="rId106"/>
    <sheet name="ADU-92" sheetId="40" r:id="rId107"/>
    <sheet name="ADU-93" sheetId="19" r:id="rId108"/>
    <sheet name="ADU-94" sheetId="139" r:id="rId109"/>
    <sheet name="ADU-95" sheetId="140" r:id="rId110"/>
    <sheet name="ADU-100" sheetId="15" r:id="rId111"/>
    <sheet name="ADU-101" sheetId="38" r:id="rId112"/>
    <sheet name="ADU-102" sheetId="77" r:id="rId113"/>
    <sheet name="ADU-103" sheetId="129" r:id="rId114"/>
    <sheet name="ADU-121" sheetId="74" r:id="rId115"/>
    <sheet name="ADU-122" sheetId="73" r:id="rId116"/>
    <sheet name="ADU-123" sheetId="93" r:id="rId117"/>
    <sheet name="ADU-124" sheetId="71" r:id="rId118"/>
    <sheet name="ADU-140" sheetId="20" r:id="rId119"/>
    <sheet name="ADA-1" sheetId="104" r:id="rId120"/>
    <sheet name="ADA-2" sheetId="101" r:id="rId121"/>
    <sheet name="ADA-3" sheetId="105" r:id="rId122"/>
    <sheet name="ADA-4" sheetId="106" r:id="rId123"/>
    <sheet name="ADA-5" sheetId="108" r:id="rId124"/>
    <sheet name="ADA-6" sheetId="107" r:id="rId125"/>
    <sheet name="ADA-7" sheetId="109" r:id="rId126"/>
    <sheet name="ADA-8" sheetId="111" r:id="rId127"/>
    <sheet name="ADA-9" sheetId="112" r:id="rId128"/>
    <sheet name="ADA-10" sheetId="113" r:id="rId129"/>
    <sheet name="ADA-11" sheetId="114" r:id="rId130"/>
    <sheet name="ADA-12" sheetId="115" r:id="rId131"/>
    <sheet name="ADA-13" sheetId="100" r:id="rId132"/>
    <sheet name="ADA-20" sheetId="102" r:id="rId133"/>
    <sheet name="ADA-21" sheetId="103" r:id="rId134"/>
    <sheet name="ADA-22" sheetId="110" r:id="rId135"/>
    <sheet name="ADA-23" sheetId="117" r:id="rId136"/>
    <sheet name="Feuil12" sheetId="163" r:id="rId137"/>
  </sheets>
  <externalReferences>
    <externalReference r:id="rId138"/>
    <externalReference r:id="rId139"/>
    <externalReference r:id="rId140"/>
    <externalReference r:id="rId141"/>
    <externalReference r:id="rId142"/>
    <externalReference r:id="rId143"/>
  </externalReferences>
  <definedNames>
    <definedName name="_xlnm._FilterDatabase" localSheetId="4" hidden="1">'Synthèse CO2'!$A$1:$Y$68</definedName>
    <definedName name="_xlnm.Print_Area" localSheetId="23">'ADO-21'!$A$1:$E$28</definedName>
    <definedName name="_xlnm.Print_Area" localSheetId="27">'ADO-25'!$A$1:$E$28</definedName>
    <definedName name="_xlnm.Print_Area" localSheetId="29">'ADO-27'!$A$1:$E$28</definedName>
    <definedName name="_xlnm.Print_Area" localSheetId="41">'ADO-41'!$A$1:$E$28</definedName>
    <definedName name="_xlnm.Print_Area" localSheetId="16">'ADO-6'!$A$1:$E$28</definedName>
    <definedName name="_xlnm.Print_Area" localSheetId="110">'ADU-100'!$A$1:$E$27</definedName>
    <definedName name="_xlnm.Print_Area" localSheetId="44">'ADU-3'!$A$1:$E$28</definedName>
    <definedName name="_xlnm.Print_Area" localSheetId="92">'ADU-70'!$A$1:$E$28</definedName>
    <definedName name="_xlnm.Print_Area" localSheetId="93">'ADU-71'!$A$1:$E$28</definedName>
    <definedName name="_xlnm.Print_Area" localSheetId="1">'Objectifs CO2'!$A$3:$H$44</definedName>
    <definedName name="_xlnm.Print_Area" localSheetId="2">'Objectifs ECO'!$A$1:$H$43</definedName>
    <definedName name="_xlnm.Print_Area" localSheetId="3">'Objectifs PER'!$A$1:$H$43</definedName>
  </definedNames>
  <calcPr calcId="145621"/>
</workbook>
</file>

<file path=xl/calcChain.xml><?xml version="1.0" encoding="utf-8"?>
<calcChain xmlns="http://schemas.openxmlformats.org/spreadsheetml/2006/main">
  <c r="G14" i="37" l="1"/>
  <c r="N95" i="50" l="1"/>
  <c r="K15" i="44" l="1"/>
  <c r="J15" i="44"/>
  <c r="B25" i="158"/>
  <c r="B25" i="126"/>
  <c r="B25" i="43" l="1"/>
  <c r="B21" i="43"/>
  <c r="B20" i="43"/>
  <c r="B25" i="28"/>
  <c r="B21" i="28"/>
  <c r="B20" i="28"/>
  <c r="N138" i="10" l="1"/>
  <c r="N134" i="10"/>
  <c r="N133" i="10"/>
  <c r="N131" i="10"/>
  <c r="N130" i="10"/>
  <c r="H147" i="10"/>
  <c r="H145" i="10"/>
  <c r="G151" i="10"/>
  <c r="G150" i="10"/>
  <c r="N138" i="51"/>
  <c r="N135" i="51"/>
  <c r="N134" i="51"/>
  <c r="N133" i="51"/>
  <c r="N131" i="51"/>
  <c r="N130" i="51"/>
  <c r="N138" i="50"/>
  <c r="N134" i="50"/>
  <c r="N133" i="50"/>
  <c r="N131" i="50"/>
  <c r="N130" i="50"/>
  <c r="H138" i="10"/>
  <c r="H135" i="10"/>
  <c r="H134" i="10"/>
  <c r="H131" i="10"/>
  <c r="H130" i="10"/>
  <c r="I19" i="126"/>
  <c r="K16" i="126"/>
  <c r="J16" i="126"/>
  <c r="I16" i="126"/>
  <c r="Q16" i="159"/>
  <c r="Z135" i="10" l="1"/>
  <c r="Z138" i="10" s="1"/>
  <c r="AH135" i="10"/>
  <c r="AH138" i="10" s="1"/>
  <c r="AP135" i="10"/>
  <c r="AP138" i="10" s="1"/>
  <c r="AX135" i="10"/>
  <c r="AX138" i="10" s="1"/>
  <c r="BF135" i="10"/>
  <c r="BF138" i="10" s="1"/>
  <c r="BM135" i="10"/>
  <c r="Z136" i="10"/>
  <c r="AH136" i="10"/>
  <c r="AP136" i="10"/>
  <c r="AX136" i="10"/>
  <c r="BF136" i="10"/>
  <c r="BM136" i="10"/>
  <c r="BM138" i="10" s="1"/>
  <c r="E152" i="10"/>
  <c r="E153" i="10" s="1"/>
  <c r="J147" i="10"/>
  <c r="J145" i="10"/>
  <c r="H133" i="10"/>
  <c r="H151" i="10" l="1"/>
  <c r="H150" i="10"/>
  <c r="I37" i="10" l="1"/>
  <c r="L19" i="123"/>
  <c r="L18" i="123"/>
  <c r="J19" i="123"/>
  <c r="I19" i="123"/>
  <c r="J13" i="25"/>
  <c r="J12" i="25"/>
  <c r="J12" i="121"/>
  <c r="AB13" i="128" l="1"/>
  <c r="M16" i="128" s="1"/>
  <c r="B18" i="128"/>
  <c r="I27" i="128"/>
  <c r="I26" i="128"/>
  <c r="I29" i="128" s="1"/>
  <c r="O19" i="31" l="1"/>
  <c r="G12" i="128"/>
  <c r="K23" i="128"/>
  <c r="AB52" i="76" l="1"/>
  <c r="AB51" i="76"/>
  <c r="Y51" i="76"/>
  <c r="AB50" i="76"/>
  <c r="Y50" i="76"/>
  <c r="AB49" i="76"/>
  <c r="Y49" i="76"/>
  <c r="AB48" i="76"/>
  <c r="Y48" i="76"/>
  <c r="AD47" i="76"/>
  <c r="AB47" i="76"/>
  <c r="Y47" i="76"/>
  <c r="AD46" i="76"/>
  <c r="AB46" i="76"/>
  <c r="Y46" i="76"/>
  <c r="AD45" i="76"/>
  <c r="AB45" i="76"/>
  <c r="Y45" i="76"/>
  <c r="AD44" i="76"/>
  <c r="AB44" i="76"/>
  <c r="Y44" i="76"/>
  <c r="AB43" i="76"/>
  <c r="Y43" i="76"/>
  <c r="AD42" i="76"/>
  <c r="AC42" i="76"/>
  <c r="AB42" i="76"/>
  <c r="X42" i="76"/>
  <c r="Y42" i="76" s="1"/>
  <c r="Y41" i="76"/>
  <c r="Y40" i="76"/>
  <c r="Y39" i="76"/>
  <c r="Y38" i="76"/>
  <c r="Y37" i="76"/>
  <c r="Y36" i="76"/>
  <c r="AB35" i="76"/>
  <c r="AE35" i="76" s="1"/>
  <c r="AB34" i="76"/>
  <c r="AE34" i="76" s="1"/>
  <c r="AB33" i="76"/>
  <c r="AE33" i="76" s="1"/>
  <c r="AB32" i="76"/>
  <c r="AE32" i="76" s="1"/>
  <c r="AB31" i="76"/>
  <c r="AE31" i="76" s="1"/>
  <c r="AB30" i="76"/>
  <c r="AE30" i="76" s="1"/>
  <c r="AB29" i="76"/>
  <c r="AE29" i="76" s="1"/>
  <c r="AB28" i="76"/>
  <c r="AE28" i="76" s="1"/>
  <c r="AB27" i="76"/>
  <c r="AE27" i="76" s="1"/>
  <c r="AB26" i="76"/>
  <c r="AE26" i="76" s="1"/>
  <c r="AB25" i="76"/>
  <c r="AE25" i="76" s="1"/>
  <c r="AB24" i="76"/>
  <c r="AE24" i="76" s="1"/>
  <c r="AB23" i="76"/>
  <c r="AE23" i="76" s="1"/>
  <c r="AB22" i="76"/>
  <c r="AE22" i="76" s="1"/>
  <c r="B18" i="130" l="1"/>
  <c r="C111" i="118" l="1"/>
  <c r="C110" i="118"/>
  <c r="P110" i="118" s="1"/>
  <c r="C109" i="118"/>
  <c r="O109" i="118" s="1"/>
  <c r="C108" i="118"/>
  <c r="O108" i="118" s="1"/>
  <c r="C107" i="118"/>
  <c r="O107" i="118" s="1"/>
  <c r="C106" i="118"/>
  <c r="C105" i="118"/>
  <c r="P105" i="118" s="1"/>
  <c r="C104" i="118"/>
  <c r="O104" i="118" s="1"/>
  <c r="C103" i="118"/>
  <c r="C102" i="118"/>
  <c r="O102" i="118" s="1"/>
  <c r="C101" i="118"/>
  <c r="P101" i="118" s="1"/>
  <c r="C100" i="118"/>
  <c r="C99" i="118"/>
  <c r="C98" i="118"/>
  <c r="C97" i="118"/>
  <c r="C96" i="118"/>
  <c r="C95" i="118"/>
  <c r="C94" i="118"/>
  <c r="O94" i="118" s="1"/>
  <c r="C93" i="118"/>
  <c r="P93" i="118" s="1"/>
  <c r="C92" i="118"/>
  <c r="O92" i="118" s="1"/>
  <c r="C91" i="118"/>
  <c r="C90" i="118"/>
  <c r="P90" i="118" s="1"/>
  <c r="C89" i="118"/>
  <c r="O89" i="118" s="1"/>
  <c r="C88" i="118"/>
  <c r="C87" i="118"/>
  <c r="C86" i="118"/>
  <c r="C85" i="118"/>
  <c r="C84" i="118"/>
  <c r="C83" i="118"/>
  <c r="C82" i="118"/>
  <c r="C81" i="118"/>
  <c r="C80" i="118"/>
  <c r="C79" i="118"/>
  <c r="C78" i="118"/>
  <c r="C77" i="118"/>
  <c r="C76" i="118"/>
  <c r="C75" i="118"/>
  <c r="C74" i="118"/>
  <c r="C73" i="118"/>
  <c r="C72" i="118"/>
  <c r="C71" i="118"/>
  <c r="C70" i="118"/>
  <c r="C69" i="118"/>
  <c r="C68" i="118"/>
  <c r="C66" i="118"/>
  <c r="C65" i="118"/>
  <c r="C64" i="118"/>
  <c r="C63" i="118"/>
  <c r="C62" i="118"/>
  <c r="C61" i="118"/>
  <c r="C60" i="118"/>
  <c r="C59" i="118"/>
  <c r="C58" i="118"/>
  <c r="C57" i="118"/>
  <c r="C56" i="118"/>
  <c r="C55" i="118"/>
  <c r="C54" i="118"/>
  <c r="C53" i="118"/>
  <c r="C52" i="118"/>
  <c r="C51" i="118"/>
  <c r="C50" i="118"/>
  <c r="C49" i="118"/>
  <c r="C48" i="118"/>
  <c r="C47" i="118"/>
  <c r="C46" i="118"/>
  <c r="C45" i="118"/>
  <c r="C44" i="118"/>
  <c r="C43" i="118"/>
  <c r="C42" i="118"/>
  <c r="C41" i="118"/>
  <c r="C40" i="118"/>
  <c r="C39" i="118"/>
  <c r="C38" i="118"/>
  <c r="C37" i="118"/>
  <c r="C36" i="118"/>
  <c r="O111" i="118"/>
  <c r="P111" i="118"/>
  <c r="S111" i="118"/>
  <c r="P89" i="118"/>
  <c r="S89" i="118"/>
  <c r="S90" i="118"/>
  <c r="O91" i="118"/>
  <c r="P91" i="118"/>
  <c r="S91" i="118"/>
  <c r="S92" i="118"/>
  <c r="S93" i="118"/>
  <c r="S94" i="118"/>
  <c r="O95" i="118"/>
  <c r="P95" i="118"/>
  <c r="S95" i="118"/>
  <c r="O96" i="118"/>
  <c r="P96" i="118"/>
  <c r="S96" i="118"/>
  <c r="O97" i="118"/>
  <c r="P97" i="118"/>
  <c r="S97" i="118"/>
  <c r="O98" i="118"/>
  <c r="P98" i="118"/>
  <c r="S98" i="118"/>
  <c r="O99" i="118"/>
  <c r="P99" i="118"/>
  <c r="S99" i="118"/>
  <c r="O100" i="118"/>
  <c r="P100" i="118"/>
  <c r="S100" i="118"/>
  <c r="O101" i="118"/>
  <c r="S101" i="118"/>
  <c r="P102" i="118"/>
  <c r="S102" i="118"/>
  <c r="O103" i="118"/>
  <c r="P103" i="118"/>
  <c r="S103" i="118"/>
  <c r="S104" i="118"/>
  <c r="S105" i="118"/>
  <c r="O106" i="118"/>
  <c r="P106" i="118"/>
  <c r="S106" i="118"/>
  <c r="S107" i="118"/>
  <c r="S108" i="118"/>
  <c r="S109" i="118"/>
  <c r="O110" i="118"/>
  <c r="S110" i="118"/>
  <c r="C35" i="118"/>
  <c r="C34" i="118"/>
  <c r="C33" i="118"/>
  <c r="C32" i="118"/>
  <c r="C31" i="118"/>
  <c r="C30" i="118"/>
  <c r="C29" i="118"/>
  <c r="C28" i="118"/>
  <c r="C27" i="118"/>
  <c r="C26" i="118"/>
  <c r="C25" i="118"/>
  <c r="C24" i="118"/>
  <c r="C23" i="118"/>
  <c r="C22" i="118"/>
  <c r="C21" i="118"/>
  <c r="C20" i="118"/>
  <c r="C19" i="118"/>
  <c r="C18" i="118"/>
  <c r="C17" i="118"/>
  <c r="C16" i="118"/>
  <c r="C15" i="118"/>
  <c r="C14" i="118"/>
  <c r="C13" i="118"/>
  <c r="C12" i="118"/>
  <c r="C11" i="118"/>
  <c r="C10" i="118"/>
  <c r="C9" i="118"/>
  <c r="C8" i="118"/>
  <c r="C7" i="118"/>
  <c r="C6" i="118"/>
  <c r="C5" i="118"/>
  <c r="C4" i="118"/>
  <c r="P109" i="118" l="1"/>
  <c r="P108" i="118"/>
  <c r="P107" i="118"/>
  <c r="O105" i="118"/>
  <c r="P104" i="118"/>
  <c r="P94" i="118"/>
  <c r="O93" i="118"/>
  <c r="P92" i="118"/>
  <c r="O90" i="118"/>
  <c r="N82" i="51"/>
  <c r="N81" i="51"/>
  <c r="N80" i="51"/>
  <c r="N79" i="51"/>
  <c r="N78" i="51"/>
  <c r="N66" i="51"/>
  <c r="N65" i="51"/>
  <c r="N60" i="51"/>
  <c r="N59" i="51"/>
  <c r="N58" i="51"/>
  <c r="N30" i="51"/>
  <c r="N29" i="51"/>
  <c r="N28" i="51"/>
  <c r="N27" i="51"/>
  <c r="N12" i="51"/>
  <c r="N11" i="51"/>
  <c r="N82" i="50"/>
  <c r="N81" i="50"/>
  <c r="N79" i="50"/>
  <c r="N78" i="50"/>
  <c r="N60" i="50"/>
  <c r="N59" i="50"/>
  <c r="N58" i="50"/>
  <c r="N30" i="50"/>
  <c r="N29" i="50"/>
  <c r="N28" i="50"/>
  <c r="N27" i="50"/>
  <c r="N12" i="50"/>
  <c r="N11" i="50"/>
  <c r="H14" i="93"/>
  <c r="I14" i="93"/>
  <c r="B18" i="124" l="1"/>
  <c r="J18" i="124"/>
  <c r="I18" i="124"/>
  <c r="I17" i="124"/>
  <c r="Q16" i="126" l="1"/>
  <c r="E42" i="126"/>
  <c r="Q14" i="126"/>
  <c r="N14" i="126"/>
  <c r="B17" i="126" s="1"/>
  <c r="I14" i="126"/>
  <c r="J14" i="126" s="1"/>
  <c r="H14" i="126"/>
  <c r="AB13" i="126"/>
  <c r="K14" i="126" l="1"/>
  <c r="B19" i="126" s="1"/>
  <c r="B21" i="126"/>
  <c r="B24" i="126" s="1"/>
  <c r="O14" i="126"/>
  <c r="B25" i="95"/>
  <c r="B20" i="95"/>
  <c r="B19" i="95"/>
  <c r="B21" i="95" s="1"/>
  <c r="N17" i="95"/>
  <c r="M17" i="95"/>
  <c r="L17" i="95"/>
  <c r="I17" i="95"/>
  <c r="H17" i="95"/>
  <c r="G17" i="95"/>
  <c r="G15" i="95"/>
  <c r="L15" i="95"/>
  <c r="K15" i="95"/>
  <c r="J15" i="95"/>
  <c r="I15" i="95"/>
  <c r="H15" i="95"/>
  <c r="B25" i="42"/>
  <c r="B19" i="42"/>
  <c r="M17" i="42"/>
  <c r="H17" i="42"/>
  <c r="H15" i="42"/>
  <c r="I15" i="42"/>
  <c r="J15" i="42"/>
  <c r="K15" i="42"/>
  <c r="L15" i="42"/>
  <c r="G15" i="42"/>
  <c r="I18" i="121"/>
  <c r="B17" i="121" s="1"/>
  <c r="H18" i="121"/>
  <c r="B27" i="126" l="1"/>
  <c r="B26" i="126"/>
  <c r="B23" i="126"/>
  <c r="B23" i="95"/>
  <c r="B24" i="95"/>
  <c r="B19" i="161" l="1"/>
  <c r="E42" i="71"/>
  <c r="K14" i="71"/>
  <c r="G14" i="71"/>
  <c r="I17" i="71" s="1"/>
  <c r="J17" i="71" s="1"/>
  <c r="AB13" i="71"/>
  <c r="B17" i="71" l="1"/>
  <c r="I14" i="71"/>
  <c r="J14" i="71" s="1"/>
  <c r="B20" i="71" s="1"/>
  <c r="B25" i="71" s="1"/>
  <c r="B20" i="37"/>
  <c r="J18" i="123"/>
  <c r="J17" i="123"/>
  <c r="I18" i="123"/>
  <c r="I17" i="123"/>
  <c r="B18" i="161"/>
  <c r="J81" i="51" s="1"/>
  <c r="G14" i="161"/>
  <c r="Q80" i="50"/>
  <c r="Q80" i="51"/>
  <c r="Q80" i="10"/>
  <c r="Q79" i="50"/>
  <c r="Q79" i="51"/>
  <c r="Q79" i="10"/>
  <c r="Q82" i="50"/>
  <c r="Q82" i="51"/>
  <c r="Q82" i="10"/>
  <c r="Q81" i="50"/>
  <c r="Q81" i="51"/>
  <c r="Q81" i="10"/>
  <c r="P82" i="50"/>
  <c r="Y82" i="50" s="1"/>
  <c r="P82" i="51"/>
  <c r="AM82" i="50" s="1"/>
  <c r="P82" i="10"/>
  <c r="X82" i="10" s="1"/>
  <c r="P81" i="50"/>
  <c r="P81" i="51"/>
  <c r="AH81" i="50" s="1"/>
  <c r="P81" i="10"/>
  <c r="AW81" i="10" s="1"/>
  <c r="P80" i="50"/>
  <c r="X80" i="50" s="1"/>
  <c r="P80" i="51"/>
  <c r="AI80" i="50" s="1"/>
  <c r="P80" i="10"/>
  <c r="BI80" i="10" s="1"/>
  <c r="P79" i="50"/>
  <c r="T79" i="50" s="1"/>
  <c r="P79" i="51"/>
  <c r="BE79" i="50" s="1"/>
  <c r="P79" i="10"/>
  <c r="N82" i="10"/>
  <c r="M82" i="50"/>
  <c r="M82" i="51"/>
  <c r="M82" i="10"/>
  <c r="L82" i="50"/>
  <c r="L82" i="51"/>
  <c r="L82" i="10"/>
  <c r="L81" i="50"/>
  <c r="L81" i="51"/>
  <c r="L81" i="10"/>
  <c r="L80" i="50"/>
  <c r="L80" i="51"/>
  <c r="L80" i="10"/>
  <c r="L79" i="50"/>
  <c r="L79" i="51"/>
  <c r="L79" i="10"/>
  <c r="K82" i="50"/>
  <c r="K82" i="51"/>
  <c r="K82" i="10"/>
  <c r="J82" i="50"/>
  <c r="J82" i="51"/>
  <c r="J82" i="10"/>
  <c r="J81" i="50"/>
  <c r="J80" i="50"/>
  <c r="J80" i="51"/>
  <c r="J80" i="10"/>
  <c r="J79" i="50"/>
  <c r="J79" i="51"/>
  <c r="J79" i="10"/>
  <c r="I82" i="50"/>
  <c r="I82" i="51"/>
  <c r="I82" i="10"/>
  <c r="I81" i="50"/>
  <c r="I81" i="51"/>
  <c r="I81" i="10"/>
  <c r="I80" i="50"/>
  <c r="I80" i="51"/>
  <c r="I80" i="10"/>
  <c r="I79" i="50"/>
  <c r="I79" i="51"/>
  <c r="I79" i="10"/>
  <c r="H82" i="50"/>
  <c r="H82" i="51"/>
  <c r="H82" i="10"/>
  <c r="H81" i="50"/>
  <c r="H81" i="51"/>
  <c r="H81" i="10"/>
  <c r="H80" i="50"/>
  <c r="H80" i="51"/>
  <c r="H80" i="10"/>
  <c r="G82" i="50"/>
  <c r="G82" i="51"/>
  <c r="G82" i="10"/>
  <c r="G81" i="50"/>
  <c r="G81" i="51"/>
  <c r="G81" i="10"/>
  <c r="G80" i="50"/>
  <c r="G80" i="51"/>
  <c r="G80" i="10"/>
  <c r="G79" i="50"/>
  <c r="G79" i="51"/>
  <c r="G79" i="10"/>
  <c r="F82" i="50"/>
  <c r="F82" i="51"/>
  <c r="F82" i="10"/>
  <c r="F81" i="50"/>
  <c r="F81" i="51"/>
  <c r="F81" i="10"/>
  <c r="F80" i="50"/>
  <c r="F80" i="51"/>
  <c r="F80" i="10"/>
  <c r="F79" i="50"/>
  <c r="F79" i="51"/>
  <c r="F79" i="10"/>
  <c r="E82" i="50"/>
  <c r="E82" i="51"/>
  <c r="E82" i="10"/>
  <c r="E81" i="50"/>
  <c r="E81" i="51"/>
  <c r="E81" i="10"/>
  <c r="E80" i="50"/>
  <c r="E80" i="51"/>
  <c r="E80" i="10"/>
  <c r="E79" i="50"/>
  <c r="E79" i="51"/>
  <c r="E79" i="10"/>
  <c r="D82" i="50"/>
  <c r="D82" i="51"/>
  <c r="D82" i="10"/>
  <c r="D81" i="50"/>
  <c r="D81" i="51"/>
  <c r="D81" i="10"/>
  <c r="D80" i="50"/>
  <c r="D80" i="51"/>
  <c r="D80" i="10"/>
  <c r="D79" i="50"/>
  <c r="D79" i="51"/>
  <c r="D79" i="10"/>
  <c r="C82" i="50"/>
  <c r="C82" i="51"/>
  <c r="C82" i="10"/>
  <c r="C81" i="50"/>
  <c r="C81" i="51"/>
  <c r="C81" i="10"/>
  <c r="C80" i="50"/>
  <c r="C80" i="51"/>
  <c r="C80" i="10"/>
  <c r="C79" i="50"/>
  <c r="C79" i="51"/>
  <c r="C79" i="10"/>
  <c r="B82" i="50"/>
  <c r="B82" i="51"/>
  <c r="B82" i="10"/>
  <c r="B81" i="50"/>
  <c r="B81" i="51"/>
  <c r="B81" i="10"/>
  <c r="B80" i="50"/>
  <c r="B80" i="51"/>
  <c r="B80" i="10"/>
  <c r="B79" i="50"/>
  <c r="B79" i="51"/>
  <c r="B79" i="10"/>
  <c r="U80" i="50"/>
  <c r="Y80" i="50"/>
  <c r="O82" i="50"/>
  <c r="AI82" i="50"/>
  <c r="BA82" i="50"/>
  <c r="BS82" i="50"/>
  <c r="T79" i="51"/>
  <c r="O82" i="51"/>
  <c r="Y82" i="51"/>
  <c r="O82" i="10"/>
  <c r="BG82" i="10"/>
  <c r="BR82" i="10"/>
  <c r="Q66" i="50"/>
  <c r="Q66" i="51"/>
  <c r="Q66" i="10"/>
  <c r="Q65" i="50"/>
  <c r="Q65" i="51"/>
  <c r="Q65" i="10"/>
  <c r="P66" i="50"/>
  <c r="R66" i="50" s="1"/>
  <c r="P66" i="51"/>
  <c r="P66" i="10"/>
  <c r="V66" i="10" s="1"/>
  <c r="P65" i="50"/>
  <c r="U65" i="50" s="1"/>
  <c r="P65" i="51"/>
  <c r="P65" i="10"/>
  <c r="AD65" i="10" s="1"/>
  <c r="L66" i="50"/>
  <c r="L66" i="51"/>
  <c r="L66" i="10"/>
  <c r="L65" i="50"/>
  <c r="L65" i="51"/>
  <c r="L65" i="10"/>
  <c r="J65" i="50"/>
  <c r="J65" i="51"/>
  <c r="J65" i="10"/>
  <c r="I66" i="50"/>
  <c r="I66" i="51"/>
  <c r="I66" i="10"/>
  <c r="I65" i="50"/>
  <c r="I65" i="51"/>
  <c r="I65" i="10"/>
  <c r="G66" i="50"/>
  <c r="G66" i="51"/>
  <c r="G66" i="10"/>
  <c r="G65" i="50"/>
  <c r="G65" i="51"/>
  <c r="G65" i="10"/>
  <c r="F66" i="50"/>
  <c r="F66" i="51"/>
  <c r="F66" i="10"/>
  <c r="F65" i="50"/>
  <c r="F65" i="51"/>
  <c r="F65" i="10"/>
  <c r="E66" i="50"/>
  <c r="E66" i="51"/>
  <c r="E66" i="10"/>
  <c r="E65" i="50"/>
  <c r="E65" i="51"/>
  <c r="E65" i="10"/>
  <c r="D66" i="50"/>
  <c r="D66" i="51"/>
  <c r="D66" i="10"/>
  <c r="D65" i="50"/>
  <c r="D65" i="51"/>
  <c r="D65" i="10"/>
  <c r="C66" i="50"/>
  <c r="C66" i="51"/>
  <c r="C66" i="10"/>
  <c r="C65" i="50"/>
  <c r="C65" i="51"/>
  <c r="C65" i="10"/>
  <c r="B66" i="50"/>
  <c r="B66" i="51"/>
  <c r="B66" i="10"/>
  <c r="B65" i="50"/>
  <c r="B65" i="51"/>
  <c r="B65" i="10"/>
  <c r="W65" i="50"/>
  <c r="Y66" i="50"/>
  <c r="AM66" i="50"/>
  <c r="AT66" i="50"/>
  <c r="R66" i="51"/>
  <c r="U66" i="51"/>
  <c r="R66" i="10"/>
  <c r="AK66" i="10"/>
  <c r="BE66" i="10"/>
  <c r="Q60" i="50"/>
  <c r="Q60" i="51"/>
  <c r="Q60" i="10"/>
  <c r="Q59" i="50"/>
  <c r="Q59" i="51"/>
  <c r="Q59" i="10"/>
  <c r="Q58" i="50"/>
  <c r="Q58" i="51"/>
  <c r="Q58" i="10"/>
  <c r="P60" i="50"/>
  <c r="X60" i="50" s="1"/>
  <c r="P60" i="51"/>
  <c r="R60" i="51" s="1"/>
  <c r="P60" i="10"/>
  <c r="Y60" i="10" s="1"/>
  <c r="P59" i="50"/>
  <c r="S59" i="50" s="1"/>
  <c r="P59" i="51"/>
  <c r="Y59" i="51" s="1"/>
  <c r="P59" i="10"/>
  <c r="V59" i="10" s="1"/>
  <c r="P58" i="50"/>
  <c r="P58" i="51"/>
  <c r="BI58" i="50" s="1"/>
  <c r="P58" i="10"/>
  <c r="BO58" i="10" s="1"/>
  <c r="N60" i="10"/>
  <c r="N59" i="10"/>
  <c r="R58" i="50"/>
  <c r="N58" i="10"/>
  <c r="M60" i="50"/>
  <c r="M60" i="51"/>
  <c r="M60" i="10"/>
  <c r="M59" i="50"/>
  <c r="M59" i="51"/>
  <c r="M59" i="10"/>
  <c r="M58" i="50"/>
  <c r="M58" i="51"/>
  <c r="M58" i="10"/>
  <c r="L60" i="50"/>
  <c r="L60" i="51"/>
  <c r="L60" i="10"/>
  <c r="L59" i="50"/>
  <c r="L59" i="51"/>
  <c r="L59" i="10"/>
  <c r="L58" i="50"/>
  <c r="L58" i="51"/>
  <c r="L58" i="10"/>
  <c r="K60" i="50"/>
  <c r="K60" i="51"/>
  <c r="K60" i="10"/>
  <c r="K59" i="50"/>
  <c r="K59" i="51"/>
  <c r="K59" i="10"/>
  <c r="K58" i="50"/>
  <c r="K58" i="51"/>
  <c r="K58" i="10"/>
  <c r="J60" i="50"/>
  <c r="J60" i="51"/>
  <c r="J60" i="10"/>
  <c r="O60" i="10" s="1"/>
  <c r="J59" i="50"/>
  <c r="J59" i="51"/>
  <c r="J59" i="10"/>
  <c r="J58" i="50"/>
  <c r="J58" i="51"/>
  <c r="J58" i="10"/>
  <c r="I60" i="50"/>
  <c r="I60" i="51"/>
  <c r="I60" i="10"/>
  <c r="I59" i="50"/>
  <c r="I59" i="51"/>
  <c r="I59" i="10"/>
  <c r="I58" i="50"/>
  <c r="I58" i="51"/>
  <c r="I58" i="10"/>
  <c r="H60" i="50"/>
  <c r="H60" i="51"/>
  <c r="H60" i="10"/>
  <c r="H59" i="50"/>
  <c r="H59" i="51"/>
  <c r="H59" i="10"/>
  <c r="H58" i="50"/>
  <c r="H58" i="51"/>
  <c r="H58" i="10"/>
  <c r="O58" i="10" s="1"/>
  <c r="G60" i="50"/>
  <c r="G60" i="51"/>
  <c r="G60" i="10"/>
  <c r="G59" i="50"/>
  <c r="G59" i="51"/>
  <c r="G59" i="10"/>
  <c r="G58" i="50"/>
  <c r="G58" i="51"/>
  <c r="G58" i="10"/>
  <c r="F60" i="50"/>
  <c r="F60" i="51"/>
  <c r="AL60" i="50" s="1"/>
  <c r="F60" i="10"/>
  <c r="F59" i="50"/>
  <c r="F59" i="51"/>
  <c r="F59" i="10"/>
  <c r="BG59" i="10" s="1"/>
  <c r="F58" i="50"/>
  <c r="F58" i="51"/>
  <c r="AD58" i="50" s="1"/>
  <c r="F58" i="10"/>
  <c r="E60" i="50"/>
  <c r="E60" i="51"/>
  <c r="E60" i="10"/>
  <c r="E59" i="50"/>
  <c r="E59" i="51"/>
  <c r="E59" i="10"/>
  <c r="E58" i="50"/>
  <c r="E58" i="51"/>
  <c r="E58" i="10"/>
  <c r="D60" i="50"/>
  <c r="D60" i="51"/>
  <c r="D60" i="10"/>
  <c r="D59" i="50"/>
  <c r="D59" i="51"/>
  <c r="D59" i="10"/>
  <c r="D58" i="50"/>
  <c r="D58" i="51"/>
  <c r="D58" i="10"/>
  <c r="C60" i="50"/>
  <c r="C60" i="51"/>
  <c r="C60" i="10"/>
  <c r="C59" i="50"/>
  <c r="C59" i="51"/>
  <c r="C59" i="10"/>
  <c r="C58" i="50"/>
  <c r="C58" i="51"/>
  <c r="C58" i="10"/>
  <c r="B60" i="50"/>
  <c r="B60" i="51"/>
  <c r="B60" i="10"/>
  <c r="B59" i="50"/>
  <c r="B59" i="51"/>
  <c r="B59" i="10"/>
  <c r="B58" i="50"/>
  <c r="B58" i="51"/>
  <c r="B58" i="10"/>
  <c r="U58" i="50"/>
  <c r="AA60" i="50"/>
  <c r="O59" i="10"/>
  <c r="R59" i="10"/>
  <c r="AE59" i="10"/>
  <c r="AM59" i="10"/>
  <c r="AT59" i="10"/>
  <c r="BP59" i="10"/>
  <c r="S60" i="10"/>
  <c r="AE60" i="10"/>
  <c r="AR60" i="10"/>
  <c r="BE60" i="10"/>
  <c r="Q30" i="50"/>
  <c r="Q30" i="51"/>
  <c r="Q30" i="10"/>
  <c r="Q29" i="50"/>
  <c r="Q29" i="51"/>
  <c r="Q29" i="10"/>
  <c r="P30" i="50"/>
  <c r="U30" i="50" s="1"/>
  <c r="P30" i="51"/>
  <c r="AI30" i="50" s="1"/>
  <c r="P30" i="10"/>
  <c r="R30" i="10" s="1"/>
  <c r="P29" i="50"/>
  <c r="W29" i="50" s="1"/>
  <c r="P29" i="51"/>
  <c r="AI29" i="50" s="1"/>
  <c r="P29" i="10"/>
  <c r="V29" i="10" s="1"/>
  <c r="O30" i="51"/>
  <c r="N30" i="10"/>
  <c r="O29" i="50"/>
  <c r="O29" i="51"/>
  <c r="N29" i="10"/>
  <c r="M30" i="50"/>
  <c r="M30" i="51"/>
  <c r="M30" i="10"/>
  <c r="M29" i="50"/>
  <c r="M29" i="51"/>
  <c r="M29" i="10"/>
  <c r="L30" i="50"/>
  <c r="L30" i="51"/>
  <c r="L30" i="10"/>
  <c r="L29" i="50"/>
  <c r="L29" i="51"/>
  <c r="L29" i="10"/>
  <c r="K30" i="50"/>
  <c r="K30" i="51"/>
  <c r="K30" i="10"/>
  <c r="K29" i="50"/>
  <c r="K29" i="51"/>
  <c r="K29" i="10"/>
  <c r="J30" i="50"/>
  <c r="J30" i="51"/>
  <c r="J30" i="10"/>
  <c r="J29" i="50"/>
  <c r="J29" i="51"/>
  <c r="J29" i="10"/>
  <c r="I30" i="50"/>
  <c r="I30" i="51"/>
  <c r="I30" i="10"/>
  <c r="I29" i="50"/>
  <c r="I29" i="51"/>
  <c r="I29" i="10"/>
  <c r="H30" i="50"/>
  <c r="H30" i="51"/>
  <c r="H30" i="10"/>
  <c r="H29" i="50"/>
  <c r="H29" i="51"/>
  <c r="H29" i="10"/>
  <c r="O29" i="10" s="1"/>
  <c r="G30" i="50"/>
  <c r="G30" i="51"/>
  <c r="G30" i="10"/>
  <c r="G29" i="50"/>
  <c r="G29" i="51"/>
  <c r="G29" i="10"/>
  <c r="F30" i="50"/>
  <c r="F30" i="51"/>
  <c r="F30" i="10"/>
  <c r="F29" i="50"/>
  <c r="F29" i="51"/>
  <c r="F29" i="10"/>
  <c r="E30" i="50"/>
  <c r="E30" i="51"/>
  <c r="E30" i="10"/>
  <c r="E29" i="50"/>
  <c r="E29" i="51"/>
  <c r="E29" i="10"/>
  <c r="D30" i="50"/>
  <c r="D30" i="51"/>
  <c r="D30" i="10"/>
  <c r="D29" i="50"/>
  <c r="D29" i="51"/>
  <c r="D29" i="10"/>
  <c r="C30" i="50"/>
  <c r="C30" i="51"/>
  <c r="C30" i="10"/>
  <c r="C29" i="50"/>
  <c r="C29" i="51"/>
  <c r="C29" i="10"/>
  <c r="B30" i="50"/>
  <c r="B30" i="51"/>
  <c r="B30" i="10"/>
  <c r="B29" i="50"/>
  <c r="B29" i="51"/>
  <c r="B29" i="10"/>
  <c r="R29" i="50"/>
  <c r="AB29" i="50"/>
  <c r="AF29" i="50"/>
  <c r="AK29" i="50"/>
  <c r="AP29" i="50"/>
  <c r="AY29" i="50"/>
  <c r="BM29" i="50"/>
  <c r="O30" i="50"/>
  <c r="S30" i="50"/>
  <c r="Y30" i="50"/>
  <c r="AY30" i="50"/>
  <c r="V29" i="51"/>
  <c r="AA29" i="50"/>
  <c r="S29" i="51"/>
  <c r="W29" i="51"/>
  <c r="AC30" i="50"/>
  <c r="U30" i="51"/>
  <c r="W29" i="10"/>
  <c r="AK29" i="10"/>
  <c r="AV29" i="10"/>
  <c r="BH29" i="10"/>
  <c r="BQ29" i="10"/>
  <c r="O30" i="10"/>
  <c r="BS30" i="10"/>
  <c r="L15" i="162"/>
  <c r="H15" i="162"/>
  <c r="G15" i="162"/>
  <c r="H19" i="162" s="1"/>
  <c r="H20" i="162" s="1"/>
  <c r="B19" i="162" s="1"/>
  <c r="E42" i="162"/>
  <c r="I26" i="162"/>
  <c r="I27" i="162" s="1"/>
  <c r="I28" i="162" s="1"/>
  <c r="O14" i="162"/>
  <c r="AB13" i="162"/>
  <c r="E42" i="161"/>
  <c r="J22" i="161"/>
  <c r="I22" i="161" s="1"/>
  <c r="L14" i="161"/>
  <c r="I25" i="161"/>
  <c r="I26" i="161" s="1"/>
  <c r="I27" i="161" s="1"/>
  <c r="I28" i="161" s="1"/>
  <c r="AB13" i="161"/>
  <c r="B19" i="160"/>
  <c r="G14" i="160"/>
  <c r="J23" i="160" s="1"/>
  <c r="I25" i="160"/>
  <c r="B25" i="160"/>
  <c r="N80" i="10" s="1"/>
  <c r="N135" i="10" s="1"/>
  <c r="B17" i="160"/>
  <c r="O14" i="160"/>
  <c r="L14" i="160"/>
  <c r="BO80" i="50" l="1"/>
  <c r="AD80" i="50"/>
  <c r="Y29" i="51"/>
  <c r="R29" i="51"/>
  <c r="R30" i="50"/>
  <c r="BC29" i="50"/>
  <c r="AM29" i="50"/>
  <c r="AD29" i="50"/>
  <c r="U29" i="51"/>
  <c r="BH29" i="50"/>
  <c r="BQ29" i="50"/>
  <c r="AT29" i="50"/>
  <c r="V30" i="50"/>
  <c r="T80" i="51"/>
  <c r="AR80" i="50"/>
  <c r="R80" i="10"/>
  <c r="X80" i="51"/>
  <c r="AM80" i="50"/>
  <c r="BA80" i="50"/>
  <c r="U29" i="50"/>
  <c r="AK65" i="50"/>
  <c r="AI65" i="50"/>
  <c r="AM65" i="10"/>
  <c r="U65" i="51"/>
  <c r="U65" i="10"/>
  <c r="AA65" i="50"/>
  <c r="BQ65" i="50"/>
  <c r="S65" i="50"/>
  <c r="AY65" i="50"/>
  <c r="V65" i="50"/>
  <c r="B21" i="160"/>
  <c r="N80" i="50"/>
  <c r="O80" i="10"/>
  <c r="AF66" i="50"/>
  <c r="BF80" i="50"/>
  <c r="AL80" i="50"/>
  <c r="AU80" i="10"/>
  <c r="U80" i="51"/>
  <c r="BR81" i="50"/>
  <c r="AW80" i="50"/>
  <c r="AI66" i="10"/>
  <c r="BQ66" i="10"/>
  <c r="AV66" i="10"/>
  <c r="Y66" i="10"/>
  <c r="BQ65" i="10"/>
  <c r="BM66" i="50"/>
  <c r="AI66" i="50"/>
  <c r="BC66" i="10"/>
  <c r="BL66" i="10"/>
  <c r="AR66" i="10"/>
  <c r="W66" i="10"/>
  <c r="BE65" i="10"/>
  <c r="Y66" i="51"/>
  <c r="AO66" i="50"/>
  <c r="BC66" i="50"/>
  <c r="AD66" i="50"/>
  <c r="S60" i="50"/>
  <c r="BH58" i="10"/>
  <c r="AD30" i="10"/>
  <c r="BL30" i="10"/>
  <c r="AO30" i="10"/>
  <c r="AF30" i="10"/>
  <c r="S65" i="51"/>
  <c r="AO65" i="50"/>
  <c r="S66" i="50"/>
  <c r="BM65" i="50"/>
  <c r="AT65" i="50"/>
  <c r="AF65" i="50"/>
  <c r="X82" i="51"/>
  <c r="BO82" i="50"/>
  <c r="AW82" i="50"/>
  <c r="AD82" i="50"/>
  <c r="Y65" i="51"/>
  <c r="R65" i="51"/>
  <c r="AP65" i="50"/>
  <c r="AB65" i="50"/>
  <c r="AD65" i="50"/>
  <c r="U82" i="51"/>
  <c r="BJ82" i="50"/>
  <c r="AR82" i="50"/>
  <c r="U66" i="50"/>
  <c r="W65" i="51"/>
  <c r="BC65" i="50"/>
  <c r="BF82" i="50"/>
  <c r="AE81" i="10"/>
  <c r="BG81" i="10"/>
  <c r="AY29" i="10"/>
  <c r="AB29" i="10"/>
  <c r="R30" i="51"/>
  <c r="AF30" i="50"/>
  <c r="S29" i="50"/>
  <c r="AP30" i="50"/>
  <c r="BJ29" i="10"/>
  <c r="AM29" i="10"/>
  <c r="R29" i="10"/>
  <c r="BC30" i="50"/>
  <c r="V29" i="50"/>
  <c r="AB30" i="50"/>
  <c r="AJ80" i="10"/>
  <c r="T81" i="51"/>
  <c r="X82" i="50"/>
  <c r="AQ81" i="50"/>
  <c r="T80" i="50"/>
  <c r="AD80" i="10"/>
  <c r="BN81" i="50"/>
  <c r="U82" i="50"/>
  <c r="AZ80" i="10"/>
  <c r="T80" i="10"/>
  <c r="X80" i="10"/>
  <c r="BN80" i="10"/>
  <c r="BG65" i="10"/>
  <c r="W65" i="10"/>
  <c r="W66" i="51"/>
  <c r="AC66" i="50"/>
  <c r="BQ66" i="50"/>
  <c r="AY66" i="50"/>
  <c r="AK66" i="50"/>
  <c r="AB66" i="50"/>
  <c r="Y65" i="50"/>
  <c r="R65" i="50"/>
  <c r="BS65" i="10"/>
  <c r="AO65" i="10"/>
  <c r="S66" i="51"/>
  <c r="AA66" i="50"/>
  <c r="AP66" i="50"/>
  <c r="B27" i="71"/>
  <c r="B26" i="71"/>
  <c r="B23" i="71"/>
  <c r="B18" i="71"/>
  <c r="B24" i="71" s="1"/>
  <c r="J81" i="10"/>
  <c r="AW82" i="10"/>
  <c r="AN82" i="10"/>
  <c r="BI82" i="10"/>
  <c r="BP81" i="10"/>
  <c r="BI81" i="50"/>
  <c r="BE80" i="10"/>
  <c r="AR80" i="10"/>
  <c r="AC80" i="10"/>
  <c r="BA80" i="10"/>
  <c r="AL80" i="10"/>
  <c r="V80" i="10"/>
  <c r="BP82" i="10"/>
  <c r="AZ82" i="10"/>
  <c r="AG82" i="10"/>
  <c r="AQ82" i="10"/>
  <c r="V81" i="10"/>
  <c r="AN81" i="10"/>
  <c r="BD80" i="10"/>
  <c r="AW80" i="10"/>
  <c r="AQ80" i="10"/>
  <c r="AI80" i="10"/>
  <c r="Y80" i="10"/>
  <c r="U80" i="10"/>
  <c r="BB80" i="10"/>
  <c r="AV80" i="10"/>
  <c r="AN80" i="10"/>
  <c r="AE80" i="10"/>
  <c r="Y80" i="51"/>
  <c r="BS80" i="50"/>
  <c r="S81" i="10"/>
  <c r="W81" i="10"/>
  <c r="AB81" i="10"/>
  <c r="AF81" i="10"/>
  <c r="AK81" i="10"/>
  <c r="AO81" i="10"/>
  <c r="AT81" i="10"/>
  <c r="AY81" i="10"/>
  <c r="BC81" i="10"/>
  <c r="BH81" i="10"/>
  <c r="BL81" i="10"/>
  <c r="BQ81" i="10"/>
  <c r="U81" i="10"/>
  <c r="Y81" i="10"/>
  <c r="AD81" i="10"/>
  <c r="AI81" i="10"/>
  <c r="AM81" i="10"/>
  <c r="AR81" i="10"/>
  <c r="BA81" i="10"/>
  <c r="BE81" i="10"/>
  <c r="BJ81" i="10"/>
  <c r="BO81" i="10"/>
  <c r="BS81" i="10"/>
  <c r="S79" i="10"/>
  <c r="W79" i="10"/>
  <c r="AB79" i="10"/>
  <c r="AK79" i="10"/>
  <c r="AO79" i="10"/>
  <c r="AT79" i="10"/>
  <c r="AY79" i="10"/>
  <c r="BC79" i="10"/>
  <c r="BH79" i="10"/>
  <c r="BL79" i="10"/>
  <c r="BQ79" i="10"/>
  <c r="T79" i="10"/>
  <c r="Y79" i="10"/>
  <c r="AE79" i="10"/>
  <c r="AL79" i="10"/>
  <c r="AR79" i="10"/>
  <c r="AW79" i="10"/>
  <c r="BD79" i="10"/>
  <c r="BJ79" i="10"/>
  <c r="BP79" i="10"/>
  <c r="V79" i="10"/>
  <c r="AC79" i="10"/>
  <c r="AI79" i="10"/>
  <c r="AN79" i="10"/>
  <c r="AU79" i="10"/>
  <c r="BA79" i="10"/>
  <c r="BG79" i="10"/>
  <c r="BN79" i="10"/>
  <c r="BS79" i="10"/>
  <c r="O80" i="51"/>
  <c r="AC80" i="50"/>
  <c r="S82" i="10"/>
  <c r="W82" i="10"/>
  <c r="AB82" i="10"/>
  <c r="AF82" i="10"/>
  <c r="AK82" i="10"/>
  <c r="AO82" i="10"/>
  <c r="AT82" i="10"/>
  <c r="AY82" i="10"/>
  <c r="BC82" i="10"/>
  <c r="BH82" i="10"/>
  <c r="BL82" i="10"/>
  <c r="BQ82" i="10"/>
  <c r="U82" i="10"/>
  <c r="Y82" i="10"/>
  <c r="AD82" i="10"/>
  <c r="AI82" i="10"/>
  <c r="AM82" i="10"/>
  <c r="AR82" i="10"/>
  <c r="AV82" i="10"/>
  <c r="BA82" i="10"/>
  <c r="BE82" i="10"/>
  <c r="BJ82" i="10"/>
  <c r="BO82" i="10"/>
  <c r="BS82" i="10"/>
  <c r="BD81" i="10"/>
  <c r="AC81" i="10"/>
  <c r="BK80" i="10"/>
  <c r="BR79" i="10"/>
  <c r="BE79" i="10"/>
  <c r="AG79" i="10"/>
  <c r="AU79" i="50"/>
  <c r="BN82" i="10"/>
  <c r="BD82" i="10"/>
  <c r="AU82" i="10"/>
  <c r="AC82" i="10"/>
  <c r="T82" i="10"/>
  <c r="BK81" i="10"/>
  <c r="BB81" i="10"/>
  <c r="AS81" i="10"/>
  <c r="AJ81" i="10"/>
  <c r="AA81" i="10"/>
  <c r="BR80" i="10"/>
  <c r="BO79" i="10"/>
  <c r="BB79" i="10"/>
  <c r="AQ79" i="10"/>
  <c r="AD79" i="10"/>
  <c r="AA79" i="50"/>
  <c r="AE79" i="50"/>
  <c r="AJ79" i="50"/>
  <c r="AO79" i="50"/>
  <c r="AS79" i="50"/>
  <c r="AX79" i="50"/>
  <c r="BB79" i="50"/>
  <c r="BG79" i="50"/>
  <c r="BK79" i="50"/>
  <c r="BP79" i="50"/>
  <c r="V79" i="51"/>
  <c r="AB79" i="50"/>
  <c r="AF79" i="50"/>
  <c r="AK79" i="50"/>
  <c r="AP79" i="50"/>
  <c r="AT79" i="50"/>
  <c r="AY79" i="50"/>
  <c r="BC79" i="50"/>
  <c r="BH79" i="50"/>
  <c r="BM79" i="50"/>
  <c r="BQ79" i="50"/>
  <c r="S79" i="51"/>
  <c r="W79" i="51"/>
  <c r="AD79" i="50"/>
  <c r="AM79" i="50"/>
  <c r="AW79" i="50"/>
  <c r="BF79" i="50"/>
  <c r="BO79" i="50"/>
  <c r="U79" i="51"/>
  <c r="AH79" i="50"/>
  <c r="AQ79" i="50"/>
  <c r="AZ79" i="50"/>
  <c r="BI79" i="50"/>
  <c r="BR79" i="50"/>
  <c r="AI79" i="50"/>
  <c r="AR79" i="50"/>
  <c r="BA79" i="50"/>
  <c r="BJ79" i="50"/>
  <c r="BS79" i="50"/>
  <c r="Y79" i="51"/>
  <c r="AL79" i="50"/>
  <c r="Y79" i="50"/>
  <c r="BH80" i="10"/>
  <c r="BL80" i="10"/>
  <c r="BQ80" i="10"/>
  <c r="BJ80" i="10"/>
  <c r="BO80" i="10"/>
  <c r="BS80" i="10"/>
  <c r="BI79" i="10"/>
  <c r="AJ79" i="10"/>
  <c r="V81" i="50"/>
  <c r="S81" i="50"/>
  <c r="W81" i="50"/>
  <c r="Y81" i="50"/>
  <c r="T81" i="50"/>
  <c r="U81" i="50"/>
  <c r="AE82" i="10"/>
  <c r="V82" i="10"/>
  <c r="BN81" i="10"/>
  <c r="AU81" i="10"/>
  <c r="AL81" i="10"/>
  <c r="T81" i="10"/>
  <c r="AS79" i="10"/>
  <c r="U79" i="10"/>
  <c r="AL82" i="10"/>
  <c r="BK82" i="10"/>
  <c r="BB82" i="10"/>
  <c r="AS82" i="10"/>
  <c r="AJ82" i="10"/>
  <c r="AA82" i="10"/>
  <c r="R82" i="10"/>
  <c r="BR81" i="10"/>
  <c r="BI81" i="10"/>
  <c r="AZ81" i="10"/>
  <c r="AQ81" i="10"/>
  <c r="AG81" i="10"/>
  <c r="BP80" i="10"/>
  <c r="BG80" i="10"/>
  <c r="AZ79" i="10"/>
  <c r="AM79" i="10"/>
  <c r="AA79" i="10"/>
  <c r="AA81" i="50"/>
  <c r="AE81" i="50"/>
  <c r="AJ81" i="50"/>
  <c r="AO81" i="50"/>
  <c r="AS81" i="50"/>
  <c r="AX81" i="50"/>
  <c r="BB81" i="50"/>
  <c r="BG81" i="50"/>
  <c r="BK81" i="50"/>
  <c r="BP81" i="50"/>
  <c r="V81" i="51"/>
  <c r="AB81" i="50"/>
  <c r="AF81" i="50"/>
  <c r="AK81" i="50"/>
  <c r="AP81" i="50"/>
  <c r="AT81" i="50"/>
  <c r="AY81" i="50"/>
  <c r="BC81" i="50"/>
  <c r="BH81" i="50"/>
  <c r="BM81" i="50"/>
  <c r="BQ81" i="50"/>
  <c r="S81" i="51"/>
  <c r="W81" i="51"/>
  <c r="AI81" i="50"/>
  <c r="AR81" i="50"/>
  <c r="BA81" i="50"/>
  <c r="BJ81" i="50"/>
  <c r="BS81" i="50"/>
  <c r="Y81" i="51"/>
  <c r="AC81" i="50"/>
  <c r="AL81" i="50"/>
  <c r="AU81" i="50"/>
  <c r="BE81" i="50"/>
  <c r="AD81" i="50"/>
  <c r="AM81" i="50"/>
  <c r="AW81" i="50"/>
  <c r="BF81" i="50"/>
  <c r="BO81" i="50"/>
  <c r="U81" i="51"/>
  <c r="AZ81" i="50"/>
  <c r="BN79" i="50"/>
  <c r="AC79" i="50"/>
  <c r="AA82" i="50"/>
  <c r="AE82" i="50"/>
  <c r="AJ82" i="50"/>
  <c r="AO82" i="50"/>
  <c r="AS82" i="50"/>
  <c r="AX82" i="50"/>
  <c r="BB82" i="50"/>
  <c r="BG82" i="50"/>
  <c r="BK82" i="50"/>
  <c r="BP82" i="50"/>
  <c r="R82" i="51"/>
  <c r="V82" i="51"/>
  <c r="AB82" i="50"/>
  <c r="AF82" i="50"/>
  <c r="AK82" i="50"/>
  <c r="AP82" i="50"/>
  <c r="AT82" i="50"/>
  <c r="AY82" i="50"/>
  <c r="BC82" i="50"/>
  <c r="BH82" i="50"/>
  <c r="BM82" i="50"/>
  <c r="BQ82" i="50"/>
  <c r="S82" i="51"/>
  <c r="W82" i="51"/>
  <c r="BR82" i="50"/>
  <c r="BI82" i="50"/>
  <c r="AZ82" i="50"/>
  <c r="AQ82" i="50"/>
  <c r="AH82" i="50"/>
  <c r="R82" i="50"/>
  <c r="V82" i="50"/>
  <c r="S82" i="50"/>
  <c r="W82" i="50"/>
  <c r="BN80" i="50"/>
  <c r="BE80" i="50"/>
  <c r="AU80" i="50"/>
  <c r="V79" i="50"/>
  <c r="S79" i="50"/>
  <c r="W79" i="50"/>
  <c r="BC80" i="10"/>
  <c r="AY80" i="10"/>
  <c r="AS80" i="10"/>
  <c r="AM80" i="10"/>
  <c r="AG80" i="10"/>
  <c r="AA80" i="10"/>
  <c r="S80" i="10"/>
  <c r="W80" i="10"/>
  <c r="AB80" i="10"/>
  <c r="AF80" i="10"/>
  <c r="AK80" i="10"/>
  <c r="AO80" i="10"/>
  <c r="AT80" i="10"/>
  <c r="T82" i="51"/>
  <c r="AA80" i="50"/>
  <c r="AE80" i="50"/>
  <c r="AJ80" i="50"/>
  <c r="AO80" i="50"/>
  <c r="AS80" i="50"/>
  <c r="AX80" i="50"/>
  <c r="BB80" i="50"/>
  <c r="BG80" i="50"/>
  <c r="BK80" i="50"/>
  <c r="BP80" i="50"/>
  <c r="R80" i="51"/>
  <c r="V80" i="51"/>
  <c r="AB80" i="50"/>
  <c r="AF80" i="50"/>
  <c r="AK80" i="50"/>
  <c r="AP80" i="50"/>
  <c r="AT80" i="50"/>
  <c r="AY80" i="50"/>
  <c r="BC80" i="50"/>
  <c r="BH80" i="50"/>
  <c r="BM80" i="50"/>
  <c r="BQ80" i="50"/>
  <c r="S80" i="51"/>
  <c r="W80" i="51"/>
  <c r="BN82" i="50"/>
  <c r="BE82" i="50"/>
  <c r="AU82" i="50"/>
  <c r="AL82" i="50"/>
  <c r="AC82" i="50"/>
  <c r="T82" i="50"/>
  <c r="BR80" i="50"/>
  <c r="BI80" i="50"/>
  <c r="AZ80" i="50"/>
  <c r="AQ80" i="50"/>
  <c r="AH80" i="50"/>
  <c r="R80" i="50"/>
  <c r="V80" i="50"/>
  <c r="S80" i="50"/>
  <c r="W80" i="50"/>
  <c r="U79" i="50"/>
  <c r="BK66" i="10"/>
  <c r="BA66" i="10"/>
  <c r="AO66" i="10"/>
  <c r="AF66" i="10"/>
  <c r="U66" i="10"/>
  <c r="AT66" i="10"/>
  <c r="BS66" i="10"/>
  <c r="BG66" i="10"/>
  <c r="AY66" i="10"/>
  <c r="AM66" i="10"/>
  <c r="AB66" i="10"/>
  <c r="S66" i="10"/>
  <c r="BI66" i="10"/>
  <c r="AD66" i="10"/>
  <c r="BL65" i="10"/>
  <c r="AY65" i="10"/>
  <c r="AF65" i="10"/>
  <c r="Y65" i="10"/>
  <c r="BK65" i="10"/>
  <c r="AV65" i="10"/>
  <c r="BH65" i="10"/>
  <c r="V65" i="10"/>
  <c r="R65" i="10"/>
  <c r="BP66" i="10"/>
  <c r="BJ66" i="10"/>
  <c r="BO66" i="10"/>
  <c r="BH66" i="10"/>
  <c r="BP65" i="10"/>
  <c r="BJ65" i="10"/>
  <c r="BI65" i="10"/>
  <c r="BO65" i="10"/>
  <c r="AM65" i="50"/>
  <c r="W66" i="50"/>
  <c r="V66" i="50"/>
  <c r="BC65" i="10"/>
  <c r="AT65" i="10"/>
  <c r="AK65" i="10"/>
  <c r="AB65" i="10"/>
  <c r="S65" i="10"/>
  <c r="BA65" i="10"/>
  <c r="AR65" i="10"/>
  <c r="AI65" i="10"/>
  <c r="BS66" i="50"/>
  <c r="BO66" i="50"/>
  <c r="BJ66" i="50"/>
  <c r="BF66" i="50"/>
  <c r="BA66" i="50"/>
  <c r="AW66" i="50"/>
  <c r="BS65" i="50"/>
  <c r="BO65" i="50"/>
  <c r="BJ65" i="50"/>
  <c r="BF65" i="50"/>
  <c r="BA65" i="50"/>
  <c r="AW65" i="50"/>
  <c r="BR66" i="10"/>
  <c r="BN66" i="10"/>
  <c r="BD66" i="10"/>
  <c r="AZ66" i="10"/>
  <c r="AU66" i="10"/>
  <c r="AQ66" i="10"/>
  <c r="AL66" i="10"/>
  <c r="AG66" i="10"/>
  <c r="AC66" i="10"/>
  <c r="X66" i="10"/>
  <c r="T66" i="10"/>
  <c r="BR65" i="10"/>
  <c r="BN65" i="10"/>
  <c r="BD65" i="10"/>
  <c r="AZ65" i="10"/>
  <c r="AU65" i="10"/>
  <c r="AQ65" i="10"/>
  <c r="AL65" i="10"/>
  <c r="AG65" i="10"/>
  <c r="AC65" i="10"/>
  <c r="X65" i="10"/>
  <c r="T65" i="10"/>
  <c r="X66" i="51"/>
  <c r="T66" i="51"/>
  <c r="X65" i="51"/>
  <c r="T65" i="51"/>
  <c r="BR66" i="50"/>
  <c r="BN66" i="50"/>
  <c r="BI66" i="50"/>
  <c r="BE66" i="50"/>
  <c r="AU66" i="50"/>
  <c r="AQ66" i="50"/>
  <c r="AL66" i="50"/>
  <c r="AH66" i="50"/>
  <c r="X66" i="50"/>
  <c r="T66" i="50"/>
  <c r="BR65" i="50"/>
  <c r="BN65" i="50"/>
  <c r="BI65" i="50"/>
  <c r="BE65" i="50"/>
  <c r="AZ65" i="50"/>
  <c r="AU65" i="50"/>
  <c r="AQ65" i="50"/>
  <c r="AL65" i="50"/>
  <c r="AH65" i="50"/>
  <c r="X65" i="50"/>
  <c r="T65" i="50"/>
  <c r="BB66" i="10"/>
  <c r="AW66" i="10"/>
  <c r="AS66" i="10"/>
  <c r="AN66" i="10"/>
  <c r="AJ66" i="10"/>
  <c r="AE66" i="10"/>
  <c r="AA66" i="10"/>
  <c r="BB65" i="10"/>
  <c r="AW65" i="10"/>
  <c r="AS65" i="10"/>
  <c r="AN65" i="10"/>
  <c r="AJ65" i="10"/>
  <c r="AE65" i="10"/>
  <c r="AA65" i="10"/>
  <c r="V66" i="51"/>
  <c r="V65" i="51"/>
  <c r="BP66" i="50"/>
  <c r="BK66" i="50"/>
  <c r="BG66" i="50"/>
  <c r="BB66" i="50"/>
  <c r="AX66" i="50"/>
  <c r="AS66" i="50"/>
  <c r="AJ66" i="50"/>
  <c r="AE66" i="50"/>
  <c r="BP65" i="50"/>
  <c r="BK65" i="50"/>
  <c r="BG65" i="50"/>
  <c r="BB65" i="50"/>
  <c r="AX65" i="50"/>
  <c r="AS65" i="50"/>
  <c r="AJ65" i="50"/>
  <c r="AE65" i="50"/>
  <c r="BJ59" i="10"/>
  <c r="BC60" i="10"/>
  <c r="AN60" i="10"/>
  <c r="AA60" i="10"/>
  <c r="R60" i="10"/>
  <c r="BH60" i="10"/>
  <c r="AW60" i="10"/>
  <c r="AF60" i="10"/>
  <c r="V60" i="10"/>
  <c r="AT60" i="10"/>
  <c r="AE60" i="50"/>
  <c r="BG60" i="10"/>
  <c r="BO60" i="10"/>
  <c r="AY60" i="10"/>
  <c r="AI60" i="10"/>
  <c r="BC59" i="10"/>
  <c r="R59" i="50"/>
  <c r="AN58" i="10"/>
  <c r="R58" i="10"/>
  <c r="AM58" i="10"/>
  <c r="AW58" i="50"/>
  <c r="BK58" i="10"/>
  <c r="AM60" i="10"/>
  <c r="BS60" i="10"/>
  <c r="BL60" i="10"/>
  <c r="BQ60" i="10"/>
  <c r="BK60" i="10"/>
  <c r="BP60" i="10"/>
  <c r="BJ60" i="10"/>
  <c r="AK60" i="50"/>
  <c r="BQ59" i="10"/>
  <c r="BK59" i="10"/>
  <c r="BO59" i="10"/>
  <c r="BH59" i="10"/>
  <c r="BS59" i="10"/>
  <c r="BL59" i="10"/>
  <c r="BS58" i="10"/>
  <c r="BL58" i="10"/>
  <c r="BG58" i="10"/>
  <c r="BQ58" i="10"/>
  <c r="BP58" i="10"/>
  <c r="BJ58" i="10"/>
  <c r="AY58" i="10"/>
  <c r="AB58" i="10"/>
  <c r="AW58" i="10"/>
  <c r="AA58" i="10"/>
  <c r="BE58" i="10"/>
  <c r="T59" i="10"/>
  <c r="X59" i="10"/>
  <c r="AC59" i="10"/>
  <c r="AG59" i="10"/>
  <c r="AL59" i="10"/>
  <c r="AQ59" i="10"/>
  <c r="AU59" i="10"/>
  <c r="AZ59" i="10"/>
  <c r="BD59" i="10"/>
  <c r="W59" i="10"/>
  <c r="AD59" i="10"/>
  <c r="AJ59" i="10"/>
  <c r="AO59" i="10"/>
  <c r="AV59" i="10"/>
  <c r="BB59" i="10"/>
  <c r="T60" i="51"/>
  <c r="X60" i="51"/>
  <c r="AO60" i="50"/>
  <c r="AT60" i="50"/>
  <c r="AZ60" i="50"/>
  <c r="BG60" i="50"/>
  <c r="BM60" i="50"/>
  <c r="BR60" i="50"/>
  <c r="U60" i="51"/>
  <c r="AP60" i="50"/>
  <c r="AU60" i="50"/>
  <c r="BB60" i="50"/>
  <c r="BH60" i="50"/>
  <c r="BN60" i="50"/>
  <c r="V60" i="51"/>
  <c r="AC59" i="50"/>
  <c r="AH59" i="50"/>
  <c r="AL59" i="50"/>
  <c r="AQ59" i="50"/>
  <c r="AU59" i="50"/>
  <c r="AZ59" i="50"/>
  <c r="BE59" i="50"/>
  <c r="BI59" i="50"/>
  <c r="BN59" i="50"/>
  <c r="BR59" i="50"/>
  <c r="S59" i="51"/>
  <c r="W59" i="51"/>
  <c r="AA59" i="50"/>
  <c r="AF59" i="50"/>
  <c r="AM59" i="50"/>
  <c r="AS59" i="50"/>
  <c r="AY59" i="50"/>
  <c r="BF59" i="50"/>
  <c r="BK59" i="50"/>
  <c r="BQ59" i="50"/>
  <c r="V59" i="51"/>
  <c r="AB59" i="50"/>
  <c r="AI59" i="50"/>
  <c r="AO59" i="50"/>
  <c r="AT59" i="50"/>
  <c r="BA59" i="50"/>
  <c r="BG59" i="50"/>
  <c r="BM59" i="50"/>
  <c r="BS59" i="50"/>
  <c r="R59" i="51"/>
  <c r="X59" i="51"/>
  <c r="BP60" i="50"/>
  <c r="BC60" i="50"/>
  <c r="AQ60" i="50"/>
  <c r="BP59" i="50"/>
  <c r="BC59" i="50"/>
  <c r="AR59" i="50"/>
  <c r="AE59" i="50"/>
  <c r="BA59" i="10"/>
  <c r="AS59" i="10"/>
  <c r="AK59" i="10"/>
  <c r="AB59" i="10"/>
  <c r="U59" i="10"/>
  <c r="T58" i="10"/>
  <c r="X58" i="10"/>
  <c r="AC58" i="10"/>
  <c r="AG58" i="10"/>
  <c r="AL58" i="10"/>
  <c r="AQ58" i="10"/>
  <c r="AU58" i="10"/>
  <c r="AZ58" i="10"/>
  <c r="BD58" i="10"/>
  <c r="W58" i="10"/>
  <c r="AD58" i="10"/>
  <c r="AJ58" i="10"/>
  <c r="AO58" i="10"/>
  <c r="AV58" i="10"/>
  <c r="BB58" i="10"/>
  <c r="S58" i="10"/>
  <c r="Y58" i="10"/>
  <c r="AE58" i="10"/>
  <c r="AK58" i="10"/>
  <c r="AR58" i="10"/>
  <c r="Y60" i="51"/>
  <c r="U59" i="51"/>
  <c r="AB58" i="50"/>
  <c r="AF58" i="50"/>
  <c r="AK58" i="50"/>
  <c r="AP58" i="50"/>
  <c r="AT58" i="50"/>
  <c r="AY58" i="50"/>
  <c r="BC58" i="50"/>
  <c r="BH58" i="50"/>
  <c r="BM58" i="50"/>
  <c r="BQ58" i="50"/>
  <c r="R58" i="51"/>
  <c r="V58" i="51"/>
  <c r="AC58" i="50"/>
  <c r="AH58" i="50"/>
  <c r="AL58" i="50"/>
  <c r="AQ58" i="50"/>
  <c r="AU58" i="50"/>
  <c r="AE58" i="50"/>
  <c r="AO58" i="50"/>
  <c r="AX58" i="50"/>
  <c r="BE58" i="50"/>
  <c r="BJ58" i="50"/>
  <c r="BP58" i="50"/>
  <c r="S58" i="51"/>
  <c r="X58" i="51"/>
  <c r="AI58" i="50"/>
  <c r="AR58" i="50"/>
  <c r="AZ58" i="50"/>
  <c r="BF58" i="50"/>
  <c r="BK58" i="50"/>
  <c r="BR58" i="50"/>
  <c r="T58" i="51"/>
  <c r="Y58" i="51"/>
  <c r="BK60" i="50"/>
  <c r="AY60" i="50"/>
  <c r="BO59" i="50"/>
  <c r="BB59" i="50"/>
  <c r="AP59" i="50"/>
  <c r="AD59" i="50"/>
  <c r="T59" i="50"/>
  <c r="X59" i="50"/>
  <c r="U59" i="50"/>
  <c r="V59" i="50"/>
  <c r="BS58" i="50"/>
  <c r="BG58" i="50"/>
  <c r="AS58" i="50"/>
  <c r="AA58" i="50"/>
  <c r="T60" i="10"/>
  <c r="X60" i="10"/>
  <c r="AC60" i="10"/>
  <c r="AG60" i="10"/>
  <c r="AL60" i="10"/>
  <c r="AQ60" i="10"/>
  <c r="AU60" i="10"/>
  <c r="AZ60" i="10"/>
  <c r="BD60" i="10"/>
  <c r="W60" i="10"/>
  <c r="AD60" i="10"/>
  <c r="AJ60" i="10"/>
  <c r="AO60" i="10"/>
  <c r="AV60" i="10"/>
  <c r="BB60" i="10"/>
  <c r="AY59" i="10"/>
  <c r="AR59" i="10"/>
  <c r="AI59" i="10"/>
  <c r="AA59" i="10"/>
  <c r="S59" i="10"/>
  <c r="BC58" i="10"/>
  <c r="AT58" i="10"/>
  <c r="AI58" i="10"/>
  <c r="V58" i="10"/>
  <c r="W60" i="51"/>
  <c r="T59" i="51"/>
  <c r="W58" i="51"/>
  <c r="BI60" i="50"/>
  <c r="AX60" i="50"/>
  <c r="U60" i="50"/>
  <c r="Y60" i="50"/>
  <c r="V60" i="50"/>
  <c r="R60" i="50"/>
  <c r="W60" i="50"/>
  <c r="BJ59" i="50"/>
  <c r="AX59" i="50"/>
  <c r="AK59" i="50"/>
  <c r="Y59" i="50"/>
  <c r="BO58" i="50"/>
  <c r="BB58" i="50"/>
  <c r="AM58" i="50"/>
  <c r="BA60" i="10"/>
  <c r="AS60" i="10"/>
  <c r="AK60" i="10"/>
  <c r="AB60" i="10"/>
  <c r="U60" i="10"/>
  <c r="BE59" i="10"/>
  <c r="AW59" i="10"/>
  <c r="AN59" i="10"/>
  <c r="AF59" i="10"/>
  <c r="Y59" i="10"/>
  <c r="BA58" i="10"/>
  <c r="AS58" i="10"/>
  <c r="AF58" i="10"/>
  <c r="U58" i="10"/>
  <c r="S60" i="51"/>
  <c r="AB60" i="50"/>
  <c r="AH60" i="50"/>
  <c r="AC60" i="50"/>
  <c r="AJ60" i="50"/>
  <c r="U58" i="51"/>
  <c r="BQ60" i="50"/>
  <c r="BE60" i="50"/>
  <c r="AS60" i="50"/>
  <c r="AF60" i="50"/>
  <c r="T60" i="50"/>
  <c r="BH59" i="50"/>
  <c r="AW59" i="50"/>
  <c r="AJ59" i="50"/>
  <c r="W59" i="50"/>
  <c r="BN58" i="50"/>
  <c r="BA58" i="50"/>
  <c r="AJ58" i="50"/>
  <c r="T58" i="50"/>
  <c r="X58" i="50"/>
  <c r="V58" i="50"/>
  <c r="Y58" i="50"/>
  <c r="BI60" i="10"/>
  <c r="BN60" i="10"/>
  <c r="BR60" i="10"/>
  <c r="BI59" i="10"/>
  <c r="BN59" i="10"/>
  <c r="BR59" i="10"/>
  <c r="BI58" i="10"/>
  <c r="BN58" i="10"/>
  <c r="BR58" i="10"/>
  <c r="AD60" i="50"/>
  <c r="S58" i="50"/>
  <c r="BS60" i="50"/>
  <c r="BO60" i="50"/>
  <c r="BJ60" i="50"/>
  <c r="BF60" i="50"/>
  <c r="BA60" i="50"/>
  <c r="AW60" i="50"/>
  <c r="AR60" i="50"/>
  <c r="AM60" i="50"/>
  <c r="AI60" i="50"/>
  <c r="W58" i="50"/>
  <c r="BG30" i="10"/>
  <c r="W30" i="10"/>
  <c r="V30" i="10"/>
  <c r="AY30" i="10"/>
  <c r="S30" i="51"/>
  <c r="BH30" i="50"/>
  <c r="BI30" i="10"/>
  <c r="BP29" i="10"/>
  <c r="BE29" i="10"/>
  <c r="AT29" i="10"/>
  <c r="AF29" i="10"/>
  <c r="U29" i="10"/>
  <c r="BI29" i="10"/>
  <c r="Y29" i="10"/>
  <c r="BO29" i="10"/>
  <c r="BC29" i="10"/>
  <c r="AO29" i="10"/>
  <c r="AD29" i="10"/>
  <c r="S29" i="10"/>
  <c r="BK29" i="10"/>
  <c r="BQ30" i="10"/>
  <c r="BP30" i="10"/>
  <c r="BJ30" i="10"/>
  <c r="AA30" i="50"/>
  <c r="AM30" i="50"/>
  <c r="AD30" i="50"/>
  <c r="BO30" i="10"/>
  <c r="BH30" i="10"/>
  <c r="AK30" i="50"/>
  <c r="BK30" i="10"/>
  <c r="BS29" i="10"/>
  <c r="BL29" i="10"/>
  <c r="BG29" i="10"/>
  <c r="AV30" i="10"/>
  <c r="AM30" i="10"/>
  <c r="U30" i="10"/>
  <c r="BC30" i="10"/>
  <c r="AT30" i="10"/>
  <c r="AK30" i="10"/>
  <c r="AB30" i="10"/>
  <c r="S30" i="10"/>
  <c r="Y30" i="51"/>
  <c r="BQ30" i="50"/>
  <c r="AT30" i="50"/>
  <c r="BA30" i="10"/>
  <c r="AR30" i="10"/>
  <c r="AI30" i="10"/>
  <c r="Y30" i="10"/>
  <c r="W30" i="51"/>
  <c r="AO30" i="50"/>
  <c r="BM30" i="50"/>
  <c r="W30" i="50"/>
  <c r="BE30" i="10"/>
  <c r="BA29" i="10"/>
  <c r="AR29" i="10"/>
  <c r="AI29" i="10"/>
  <c r="Y29" i="50"/>
  <c r="BS30" i="50"/>
  <c r="BO30" i="50"/>
  <c r="BJ30" i="50"/>
  <c r="BF30" i="50"/>
  <c r="BA30" i="50"/>
  <c r="AW30" i="50"/>
  <c r="AR30" i="50"/>
  <c r="BS29" i="50"/>
  <c r="BO29" i="50"/>
  <c r="BJ29" i="50"/>
  <c r="BF29" i="50"/>
  <c r="BA29" i="50"/>
  <c r="AW29" i="50"/>
  <c r="AR29" i="50"/>
  <c r="BR30" i="10"/>
  <c r="BN30" i="10"/>
  <c r="BD30" i="10"/>
  <c r="AZ30" i="10"/>
  <c r="AU30" i="10"/>
  <c r="AQ30" i="10"/>
  <c r="AL30" i="10"/>
  <c r="AG30" i="10"/>
  <c r="AC30" i="10"/>
  <c r="X30" i="10"/>
  <c r="T30" i="10"/>
  <c r="BR29" i="10"/>
  <c r="BN29" i="10"/>
  <c r="BD29" i="10"/>
  <c r="AZ29" i="10"/>
  <c r="AU29" i="10"/>
  <c r="AQ29" i="10"/>
  <c r="AL29" i="10"/>
  <c r="AG29" i="10"/>
  <c r="AC29" i="10"/>
  <c r="X29" i="10"/>
  <c r="T29" i="10"/>
  <c r="X30" i="51"/>
  <c r="T30" i="51"/>
  <c r="X29" i="51"/>
  <c r="T29" i="51"/>
  <c r="BR30" i="50"/>
  <c r="BN30" i="50"/>
  <c r="BI30" i="50"/>
  <c r="BE30" i="50"/>
  <c r="AZ30" i="50"/>
  <c r="AU30" i="50"/>
  <c r="AQ30" i="50"/>
  <c r="AL30" i="50"/>
  <c r="AH30" i="50"/>
  <c r="X30" i="50"/>
  <c r="T30" i="50"/>
  <c r="BR29" i="50"/>
  <c r="BN29" i="50"/>
  <c r="BI29" i="50"/>
  <c r="BE29" i="50"/>
  <c r="AZ29" i="50"/>
  <c r="AU29" i="50"/>
  <c r="AQ29" i="50"/>
  <c r="AL29" i="50"/>
  <c r="AH29" i="50"/>
  <c r="AC29" i="50"/>
  <c r="X29" i="50"/>
  <c r="T29" i="50"/>
  <c r="BB30" i="10"/>
  <c r="AW30" i="10"/>
  <c r="AS30" i="10"/>
  <c r="AN30" i="10"/>
  <c r="AJ30" i="10"/>
  <c r="AE30" i="10"/>
  <c r="AA30" i="10"/>
  <c r="BB29" i="10"/>
  <c r="AW29" i="10"/>
  <c r="AS29" i="10"/>
  <c r="AN29" i="10"/>
  <c r="AJ29" i="10"/>
  <c r="AE29" i="10"/>
  <c r="AA29" i="10"/>
  <c r="V30" i="51"/>
  <c r="BP30" i="50"/>
  <c r="BK30" i="50"/>
  <c r="BG30" i="50"/>
  <c r="BB30" i="50"/>
  <c r="AX30" i="50"/>
  <c r="AS30" i="50"/>
  <c r="AJ30" i="50"/>
  <c r="AE30" i="50"/>
  <c r="BP29" i="50"/>
  <c r="BK29" i="50"/>
  <c r="BG29" i="50"/>
  <c r="BB29" i="50"/>
  <c r="AX29" i="50"/>
  <c r="AS29" i="50"/>
  <c r="AO29" i="50"/>
  <c r="AJ29" i="50"/>
  <c r="AE29" i="50"/>
  <c r="B21" i="162"/>
  <c r="B25" i="162"/>
  <c r="B27" i="162" s="1"/>
  <c r="J23" i="161"/>
  <c r="B23" i="160"/>
  <c r="J22" i="160"/>
  <c r="I22" i="160" s="1"/>
  <c r="B24" i="160"/>
  <c r="M80" i="10" l="1"/>
  <c r="M80" i="50"/>
  <c r="M80" i="51"/>
  <c r="N135" i="50"/>
  <c r="O80" i="50"/>
  <c r="K80" i="50"/>
  <c r="K80" i="51"/>
  <c r="BJ80" i="50" s="1"/>
  <c r="K80" i="10"/>
  <c r="B26" i="162"/>
  <c r="B23" i="162"/>
  <c r="B24" i="162"/>
  <c r="B21" i="161"/>
  <c r="B25" i="161"/>
  <c r="K81" i="50" l="1"/>
  <c r="K81" i="10"/>
  <c r="AV81" i="10" s="1"/>
  <c r="K81" i="51"/>
  <c r="N81" i="10"/>
  <c r="B26" i="161"/>
  <c r="B27" i="161"/>
  <c r="B24" i="161"/>
  <c r="B23" i="161"/>
  <c r="X81" i="50" l="1"/>
  <c r="O81" i="50"/>
  <c r="R81" i="50"/>
  <c r="X81" i="51"/>
  <c r="O81" i="51"/>
  <c r="R81" i="51"/>
  <c r="M81" i="50"/>
  <c r="M81" i="10"/>
  <c r="M81" i="51"/>
  <c r="O81" i="10"/>
  <c r="X81" i="10"/>
  <c r="R81" i="10"/>
  <c r="E42" i="160" l="1"/>
  <c r="I26" i="160"/>
  <c r="I27" i="160" s="1"/>
  <c r="I28" i="160" s="1"/>
  <c r="AB13" i="160"/>
  <c r="E42" i="154"/>
  <c r="I25" i="154"/>
  <c r="I26" i="154" s="1"/>
  <c r="I27" i="154" s="1"/>
  <c r="I28" i="154" s="1"/>
  <c r="K23" i="154"/>
  <c r="K22" i="154"/>
  <c r="I22" i="154" s="1"/>
  <c r="B21" i="154"/>
  <c r="B17" i="154"/>
  <c r="M14" i="154"/>
  <c r="B25" i="154" s="1"/>
  <c r="L14" i="154"/>
  <c r="AB13" i="154"/>
  <c r="Q16" i="158"/>
  <c r="I14" i="159"/>
  <c r="H14" i="159"/>
  <c r="Q14" i="159"/>
  <c r="N14" i="159"/>
  <c r="B17" i="159" s="1"/>
  <c r="H66" i="10" l="1"/>
  <c r="H66" i="50"/>
  <c r="O66" i="50" s="1"/>
  <c r="H66" i="51"/>
  <c r="B24" i="154"/>
  <c r="H79" i="10"/>
  <c r="H79" i="50"/>
  <c r="H79" i="51"/>
  <c r="O79" i="51" s="1"/>
  <c r="K79" i="50"/>
  <c r="K79" i="51"/>
  <c r="K79" i="10"/>
  <c r="AV79" i="10" s="1"/>
  <c r="N79" i="10"/>
  <c r="B26" i="160"/>
  <c r="B27" i="160"/>
  <c r="B26" i="154"/>
  <c r="B27" i="154"/>
  <c r="B23" i="154"/>
  <c r="J14" i="159"/>
  <c r="B19" i="159" s="1"/>
  <c r="N66" i="50" s="1"/>
  <c r="I16" i="159"/>
  <c r="K14" i="159"/>
  <c r="J16" i="159" s="1"/>
  <c r="K16" i="159" s="1"/>
  <c r="B18" i="159"/>
  <c r="J66" i="10" l="1"/>
  <c r="J66" i="50"/>
  <c r="J66" i="51"/>
  <c r="AZ66" i="50" s="1"/>
  <c r="O66" i="51"/>
  <c r="AR66" i="50"/>
  <c r="R79" i="50"/>
  <c r="X79" i="50"/>
  <c r="M79" i="51"/>
  <c r="M79" i="10"/>
  <c r="M79" i="50"/>
  <c r="X79" i="10"/>
  <c r="R79" i="10"/>
  <c r="O79" i="50"/>
  <c r="X79" i="51"/>
  <c r="R79" i="51"/>
  <c r="O79" i="10"/>
  <c r="AF79" i="10"/>
  <c r="BK79" i="10"/>
  <c r="B25" i="159"/>
  <c r="N66" i="10" s="1"/>
  <c r="O14" i="159"/>
  <c r="B21" i="159"/>
  <c r="B23" i="159" l="1"/>
  <c r="K66" i="50"/>
  <c r="K66" i="51"/>
  <c r="BH66" i="50" s="1"/>
  <c r="K66" i="10"/>
  <c r="J144" i="10"/>
  <c r="O66" i="10"/>
  <c r="B24" i="159"/>
  <c r="M66" i="50" l="1"/>
  <c r="M66" i="51"/>
  <c r="M66" i="10"/>
  <c r="E42" i="159"/>
  <c r="AB13" i="159"/>
  <c r="E42" i="158"/>
  <c r="C67" i="118" s="1"/>
  <c r="Q14" i="158"/>
  <c r="N14" i="158"/>
  <c r="B17" i="158" s="1"/>
  <c r="I14" i="158"/>
  <c r="H14" i="158"/>
  <c r="AB13" i="158"/>
  <c r="E42" i="157"/>
  <c r="L17" i="157"/>
  <c r="B20" i="157" s="1"/>
  <c r="K17" i="157"/>
  <c r="L14" i="157"/>
  <c r="K14" i="157"/>
  <c r="J14" i="157"/>
  <c r="I14" i="157"/>
  <c r="H14" i="157"/>
  <c r="AB13" i="157"/>
  <c r="L13" i="157"/>
  <c r="K13" i="157"/>
  <c r="J13" i="157"/>
  <c r="I13" i="157"/>
  <c r="H13" i="157"/>
  <c r="E42" i="156"/>
  <c r="B20" i="156"/>
  <c r="L17" i="156"/>
  <c r="K17" i="156"/>
  <c r="L14" i="156"/>
  <c r="K14" i="156"/>
  <c r="J14" i="156"/>
  <c r="I14" i="156"/>
  <c r="H14" i="156"/>
  <c r="AB13" i="156"/>
  <c r="L13" i="156"/>
  <c r="K13" i="156"/>
  <c r="J13" i="156"/>
  <c r="I13" i="156"/>
  <c r="H13" i="156"/>
  <c r="E42" i="155"/>
  <c r="L17" i="155"/>
  <c r="B20" i="155" s="1"/>
  <c r="K17" i="155"/>
  <c r="L14" i="155"/>
  <c r="K14" i="155"/>
  <c r="J14" i="155"/>
  <c r="I14" i="155"/>
  <c r="H14" i="155"/>
  <c r="AB13" i="155"/>
  <c r="L13" i="155"/>
  <c r="K13" i="155"/>
  <c r="J13" i="155"/>
  <c r="I13" i="155"/>
  <c r="H13" i="155"/>
  <c r="G17" i="155"/>
  <c r="E42" i="151"/>
  <c r="B27" i="151"/>
  <c r="B26" i="151"/>
  <c r="B23" i="151"/>
  <c r="B18" i="151"/>
  <c r="B24" i="151" s="1"/>
  <c r="B17" i="151"/>
  <c r="E42" i="149"/>
  <c r="B27" i="149"/>
  <c r="B26" i="149"/>
  <c r="B18" i="149"/>
  <c r="B17" i="149"/>
  <c r="B24" i="149" s="1"/>
  <c r="H65" i="50" l="1"/>
  <c r="H65" i="51"/>
  <c r="H65" i="10"/>
  <c r="H17" i="157"/>
  <c r="G17" i="157"/>
  <c r="G17" i="156"/>
  <c r="H17" i="156"/>
  <c r="B19" i="156" s="1"/>
  <c r="B21" i="156" s="1"/>
  <c r="J14" i="158"/>
  <c r="H17" i="155"/>
  <c r="B19" i="155" s="1"/>
  <c r="B21" i="155" s="1"/>
  <c r="B25" i="156"/>
  <c r="B23" i="149"/>
  <c r="K14" i="158" l="1"/>
  <c r="B19" i="158" s="1"/>
  <c r="N65" i="50" s="1"/>
  <c r="J16" i="158"/>
  <c r="K16" i="158" s="1"/>
  <c r="I16" i="158"/>
  <c r="N65" i="10"/>
  <c r="O65" i="10" s="1"/>
  <c r="H132" i="10"/>
  <c r="H146" i="10"/>
  <c r="O65" i="51"/>
  <c r="AC65" i="50"/>
  <c r="AR65" i="50"/>
  <c r="O65" i="50"/>
  <c r="B25" i="157"/>
  <c r="B19" i="157"/>
  <c r="O14" i="158"/>
  <c r="B21" i="157"/>
  <c r="B24" i="157" s="1"/>
  <c r="B25" i="155"/>
  <c r="B27" i="155" s="1"/>
  <c r="B21" i="158"/>
  <c r="B23" i="157"/>
  <c r="B27" i="157"/>
  <c r="B26" i="157"/>
  <c r="B24" i="155"/>
  <c r="B23" i="155"/>
  <c r="B26" i="155"/>
  <c r="B27" i="156"/>
  <c r="B26" i="156"/>
  <c r="B24" i="156"/>
  <c r="B23" i="156"/>
  <c r="B21" i="152"/>
  <c r="B25" i="152"/>
  <c r="B19" i="152"/>
  <c r="G14" i="54"/>
  <c r="H15" i="46"/>
  <c r="K65" i="50" l="1"/>
  <c r="K65" i="51"/>
  <c r="BH65" i="50" s="1"/>
  <c r="K65" i="10"/>
  <c r="B27" i="158"/>
  <c r="B26" i="158"/>
  <c r="B27" i="159"/>
  <c r="B26" i="159"/>
  <c r="B23" i="158"/>
  <c r="B24" i="158"/>
  <c r="M65" i="51" l="1"/>
  <c r="M65" i="10"/>
  <c r="M65" i="50"/>
  <c r="Q78" i="50"/>
  <c r="Q78" i="51"/>
  <c r="Q78" i="10"/>
  <c r="P78" i="50"/>
  <c r="R78" i="50" s="1"/>
  <c r="P78" i="51"/>
  <c r="P78" i="10"/>
  <c r="R78" i="10" s="1"/>
  <c r="N78" i="10"/>
  <c r="L78" i="50"/>
  <c r="L78" i="51"/>
  <c r="L78" i="10"/>
  <c r="K77" i="50"/>
  <c r="K77" i="51"/>
  <c r="K77" i="10"/>
  <c r="K78" i="50"/>
  <c r="K78" i="51"/>
  <c r="K78" i="10"/>
  <c r="J78" i="50"/>
  <c r="J78" i="51"/>
  <c r="J78" i="10"/>
  <c r="I78" i="50"/>
  <c r="I78" i="51"/>
  <c r="I78" i="10"/>
  <c r="H78" i="50"/>
  <c r="O78" i="50" s="1"/>
  <c r="H78" i="51"/>
  <c r="O78" i="51" s="1"/>
  <c r="H78" i="10"/>
  <c r="O78" i="10" s="1"/>
  <c r="G78" i="50"/>
  <c r="G78" i="51"/>
  <c r="G78" i="10"/>
  <c r="F78" i="50"/>
  <c r="F78" i="51"/>
  <c r="F78" i="10"/>
  <c r="E78" i="50"/>
  <c r="E78" i="51"/>
  <c r="E78" i="10"/>
  <c r="D78" i="50"/>
  <c r="D78" i="51"/>
  <c r="D78" i="10"/>
  <c r="C78" i="50"/>
  <c r="C78" i="51"/>
  <c r="C78" i="10"/>
  <c r="B78" i="50"/>
  <c r="B78" i="51"/>
  <c r="B78" i="10"/>
  <c r="Q28" i="50"/>
  <c r="Q28" i="51"/>
  <c r="Q28" i="10"/>
  <c r="Q27" i="50"/>
  <c r="Q27" i="51"/>
  <c r="Q27" i="10"/>
  <c r="P28" i="50"/>
  <c r="R28" i="50" s="1"/>
  <c r="P28" i="51"/>
  <c r="P28" i="10"/>
  <c r="P27" i="50"/>
  <c r="R27" i="50" s="1"/>
  <c r="P27" i="51"/>
  <c r="U27" i="51" s="1"/>
  <c r="P27" i="10"/>
  <c r="R27" i="10" s="1"/>
  <c r="N28" i="10"/>
  <c r="N27" i="10"/>
  <c r="M28" i="50"/>
  <c r="M28" i="51"/>
  <c r="M28" i="10"/>
  <c r="M27" i="50"/>
  <c r="M27" i="51"/>
  <c r="M27" i="10"/>
  <c r="L28" i="50"/>
  <c r="L28" i="51"/>
  <c r="L28" i="10"/>
  <c r="L27" i="50"/>
  <c r="L27" i="51"/>
  <c r="L27" i="10"/>
  <c r="K28" i="50"/>
  <c r="K28" i="51"/>
  <c r="K28" i="10"/>
  <c r="K27" i="50"/>
  <c r="K27" i="51"/>
  <c r="K27" i="10"/>
  <c r="J28" i="50"/>
  <c r="J28" i="51"/>
  <c r="J28" i="10"/>
  <c r="J27" i="50"/>
  <c r="J27" i="51"/>
  <c r="J27" i="10"/>
  <c r="I28" i="50"/>
  <c r="I28" i="51"/>
  <c r="I28" i="10"/>
  <c r="I27" i="50"/>
  <c r="I27" i="51"/>
  <c r="I27" i="10"/>
  <c r="I26" i="50"/>
  <c r="I26" i="51"/>
  <c r="I26" i="10"/>
  <c r="I25" i="50"/>
  <c r="I25" i="51"/>
  <c r="I25" i="10"/>
  <c r="I24" i="50"/>
  <c r="I24" i="51"/>
  <c r="I24" i="10"/>
  <c r="I23" i="50"/>
  <c r="I23" i="51"/>
  <c r="I23" i="10"/>
  <c r="H28" i="50"/>
  <c r="H28" i="51"/>
  <c r="O28" i="51" s="1"/>
  <c r="H28" i="10"/>
  <c r="H27" i="50"/>
  <c r="O27" i="50" s="1"/>
  <c r="H27" i="51"/>
  <c r="O27" i="51" s="1"/>
  <c r="H27" i="10"/>
  <c r="O27" i="10" s="1"/>
  <c r="G28" i="50"/>
  <c r="G28" i="51"/>
  <c r="G28" i="10"/>
  <c r="G27" i="50"/>
  <c r="G27" i="51"/>
  <c r="G27" i="10"/>
  <c r="F28" i="50"/>
  <c r="F28" i="51"/>
  <c r="F28" i="10"/>
  <c r="BO28" i="10" s="1"/>
  <c r="F27" i="50"/>
  <c r="F27" i="51"/>
  <c r="F27" i="10"/>
  <c r="E28" i="50"/>
  <c r="E28" i="51"/>
  <c r="E28" i="10"/>
  <c r="AM28" i="10" s="1"/>
  <c r="E27" i="50"/>
  <c r="X27" i="50" s="1"/>
  <c r="E27" i="51"/>
  <c r="E27" i="10"/>
  <c r="AD27" i="10" s="1"/>
  <c r="D28" i="50"/>
  <c r="D28" i="51"/>
  <c r="D28" i="10"/>
  <c r="D27" i="50"/>
  <c r="D27" i="51"/>
  <c r="D27" i="10"/>
  <c r="C28" i="50"/>
  <c r="C28" i="51"/>
  <c r="C28" i="10"/>
  <c r="C27" i="50"/>
  <c r="C27" i="51"/>
  <c r="C27" i="10"/>
  <c r="B28" i="50"/>
  <c r="B28" i="51"/>
  <c r="B28" i="10"/>
  <c r="B27" i="50"/>
  <c r="B27" i="51"/>
  <c r="B27" i="10"/>
  <c r="AD27" i="50"/>
  <c r="Y27" i="51"/>
  <c r="O28" i="10"/>
  <c r="U28" i="10"/>
  <c r="Q12" i="50"/>
  <c r="Q12" i="51"/>
  <c r="Q12" i="10"/>
  <c r="Q11" i="50"/>
  <c r="Q11" i="51"/>
  <c r="Q11" i="10"/>
  <c r="P12" i="50"/>
  <c r="R12" i="50" s="1"/>
  <c r="P12" i="51"/>
  <c r="P12" i="10"/>
  <c r="P11" i="50"/>
  <c r="R11" i="50" s="1"/>
  <c r="P11" i="51"/>
  <c r="P11" i="10"/>
  <c r="R11" i="10" s="1"/>
  <c r="N12" i="10"/>
  <c r="N11" i="10"/>
  <c r="M12" i="50"/>
  <c r="M12" i="51"/>
  <c r="M12" i="10"/>
  <c r="M11" i="50"/>
  <c r="M11" i="51"/>
  <c r="M11" i="10"/>
  <c r="L12" i="50"/>
  <c r="L12" i="51"/>
  <c r="L12" i="10"/>
  <c r="L11" i="50"/>
  <c r="L11" i="51"/>
  <c r="L11" i="10"/>
  <c r="K12" i="50"/>
  <c r="K12" i="51"/>
  <c r="K12" i="10"/>
  <c r="K11" i="50"/>
  <c r="K11" i="51"/>
  <c r="K11" i="10"/>
  <c r="J12" i="50"/>
  <c r="J12" i="51"/>
  <c r="J12" i="10"/>
  <c r="J11" i="50"/>
  <c r="J11" i="51"/>
  <c r="J11" i="10"/>
  <c r="I12" i="50"/>
  <c r="I12" i="51"/>
  <c r="I12" i="10"/>
  <c r="I11" i="50"/>
  <c r="I11" i="51"/>
  <c r="I11" i="10"/>
  <c r="H12" i="50"/>
  <c r="O12" i="50" s="1"/>
  <c r="H12" i="51"/>
  <c r="O12" i="51" s="1"/>
  <c r="H12" i="10"/>
  <c r="O12" i="10" s="1"/>
  <c r="H11" i="50"/>
  <c r="H11" i="51"/>
  <c r="O11" i="51" s="1"/>
  <c r="H11" i="10"/>
  <c r="O11" i="10" s="1"/>
  <c r="G12" i="50"/>
  <c r="G12" i="51"/>
  <c r="G12" i="10"/>
  <c r="G11" i="50"/>
  <c r="G11" i="51"/>
  <c r="G11" i="10"/>
  <c r="F12" i="50"/>
  <c r="F12" i="51"/>
  <c r="F12" i="10"/>
  <c r="F11" i="50"/>
  <c r="F11" i="51"/>
  <c r="F11" i="10"/>
  <c r="E12" i="50"/>
  <c r="U12" i="50" s="1"/>
  <c r="E12" i="51"/>
  <c r="E12" i="10"/>
  <c r="AM12" i="10" s="1"/>
  <c r="E11" i="50"/>
  <c r="E11" i="51"/>
  <c r="E11" i="10"/>
  <c r="Y11" i="10" s="1"/>
  <c r="D12" i="50"/>
  <c r="D12" i="51"/>
  <c r="D12" i="10"/>
  <c r="D11" i="50"/>
  <c r="D11" i="51"/>
  <c r="D11" i="10"/>
  <c r="C12" i="50"/>
  <c r="C12" i="51"/>
  <c r="C12" i="10"/>
  <c r="C11" i="50"/>
  <c r="C11" i="51"/>
  <c r="C11" i="10"/>
  <c r="B12" i="50"/>
  <c r="B12" i="51"/>
  <c r="B12" i="10"/>
  <c r="B11" i="50"/>
  <c r="B11" i="51"/>
  <c r="B11" i="10"/>
  <c r="U11" i="51"/>
  <c r="U12" i="51"/>
  <c r="E42" i="148"/>
  <c r="B25" i="148"/>
  <c r="B27" i="148" s="1"/>
  <c r="B24" i="148"/>
  <c r="B18" i="148"/>
  <c r="B17" i="148"/>
  <c r="B23" i="148" s="1"/>
  <c r="E42" i="147"/>
  <c r="B25" i="147"/>
  <c r="B27" i="147" s="1"/>
  <c r="B24" i="147"/>
  <c r="B18" i="147"/>
  <c r="B17" i="147"/>
  <c r="B23" i="147" s="1"/>
  <c r="L11" i="152"/>
  <c r="E42" i="152"/>
  <c r="B27" i="152"/>
  <c r="B26" i="152"/>
  <c r="B24" i="152"/>
  <c r="M78" i="10" s="1"/>
  <c r="B23" i="152"/>
  <c r="AB13" i="152"/>
  <c r="E42" i="146"/>
  <c r="B27" i="146"/>
  <c r="B26" i="146"/>
  <c r="B18" i="146"/>
  <c r="B24" i="146" s="1"/>
  <c r="B17" i="146"/>
  <c r="B23" i="146" s="1"/>
  <c r="E42" i="145"/>
  <c r="B27" i="145"/>
  <c r="B26" i="145"/>
  <c r="B18" i="145"/>
  <c r="B17" i="145"/>
  <c r="B24" i="145" s="1"/>
  <c r="BN78" i="10" l="1"/>
  <c r="U28" i="50"/>
  <c r="X11" i="50"/>
  <c r="AI78" i="50"/>
  <c r="AR78" i="50"/>
  <c r="AD11" i="50"/>
  <c r="BN11" i="10"/>
  <c r="AM12" i="50"/>
  <c r="BA11" i="10"/>
  <c r="AI11" i="10"/>
  <c r="AM11" i="10"/>
  <c r="Y27" i="10"/>
  <c r="U12" i="10"/>
  <c r="AR12" i="10"/>
  <c r="AD12" i="10"/>
  <c r="AD28" i="50"/>
  <c r="BS27" i="50"/>
  <c r="Y28" i="50"/>
  <c r="U78" i="51"/>
  <c r="AV12" i="10"/>
  <c r="R12" i="10"/>
  <c r="BO12" i="10"/>
  <c r="AM11" i="50"/>
  <c r="AM27" i="10"/>
  <c r="AM27" i="50"/>
  <c r="X28" i="51"/>
  <c r="BR11" i="10"/>
  <c r="BJ27" i="10"/>
  <c r="AD12" i="50"/>
  <c r="BI27" i="10"/>
  <c r="AA28" i="50"/>
  <c r="AI28" i="50"/>
  <c r="Y28" i="10"/>
  <c r="BS12" i="10"/>
  <c r="BJ28" i="10"/>
  <c r="AA27" i="50"/>
  <c r="BJ11" i="10"/>
  <c r="Y11" i="51"/>
  <c r="AI12" i="50"/>
  <c r="AI11" i="50"/>
  <c r="O11" i="50"/>
  <c r="BI11" i="10"/>
  <c r="BS28" i="10"/>
  <c r="AR28" i="10"/>
  <c r="BR27" i="10"/>
  <c r="AR27" i="10"/>
  <c r="AM28" i="50"/>
  <c r="AI27" i="50"/>
  <c r="Y78" i="51"/>
  <c r="AI78" i="10"/>
  <c r="O28" i="50"/>
  <c r="AA11" i="50"/>
  <c r="R28" i="10"/>
  <c r="BJ12" i="10"/>
  <c r="BO11" i="10"/>
  <c r="Y12" i="10"/>
  <c r="BE28" i="10"/>
  <c r="BA27" i="10"/>
  <c r="U27" i="10"/>
  <c r="BI28" i="10"/>
  <c r="U78" i="10"/>
  <c r="M78" i="51"/>
  <c r="M78" i="50"/>
  <c r="AM78" i="10"/>
  <c r="AA78" i="50"/>
  <c r="AM78" i="50"/>
  <c r="BE78" i="10"/>
  <c r="AD78" i="50"/>
  <c r="AR78" i="10"/>
  <c r="AC78" i="10"/>
  <c r="BJ78" i="10"/>
  <c r="AD78" i="10"/>
  <c r="Y78" i="50"/>
  <c r="U78" i="50"/>
  <c r="BS78" i="10"/>
  <c r="AV78" i="10"/>
  <c r="Y78" i="10"/>
  <c r="BO78" i="10"/>
  <c r="BR78" i="10"/>
  <c r="BI78" i="10"/>
  <c r="BA78" i="10"/>
  <c r="BS78" i="50"/>
  <c r="BJ78" i="50"/>
  <c r="BA78" i="50"/>
  <c r="AZ78" i="10"/>
  <c r="AQ78" i="10"/>
  <c r="AG78" i="10"/>
  <c r="X78" i="10"/>
  <c r="T78" i="10"/>
  <c r="X78" i="51"/>
  <c r="T78" i="51"/>
  <c r="BN78" i="50"/>
  <c r="BI78" i="50"/>
  <c r="BE78" i="50"/>
  <c r="AU78" i="50"/>
  <c r="AQ78" i="50"/>
  <c r="AL78" i="50"/>
  <c r="AH78" i="50"/>
  <c r="AC78" i="50"/>
  <c r="X78" i="50"/>
  <c r="T78" i="50"/>
  <c r="BQ78" i="10"/>
  <c r="BL78" i="10"/>
  <c r="BH78" i="10"/>
  <c r="BC78" i="10"/>
  <c r="AY78" i="10"/>
  <c r="AT78" i="10"/>
  <c r="AO78" i="10"/>
  <c r="AK78" i="10"/>
  <c r="AF78" i="10"/>
  <c r="AB78" i="10"/>
  <c r="W78" i="10"/>
  <c r="S78" i="10"/>
  <c r="W78" i="51"/>
  <c r="S78" i="51"/>
  <c r="BQ78" i="50"/>
  <c r="BM78" i="50"/>
  <c r="BH78" i="50"/>
  <c r="BC78" i="50"/>
  <c r="AY78" i="50"/>
  <c r="AT78" i="50"/>
  <c r="AP78" i="50"/>
  <c r="AK78" i="50"/>
  <c r="AF78" i="50"/>
  <c r="AB78" i="50"/>
  <c r="W78" i="50"/>
  <c r="S78" i="50"/>
  <c r="BO78" i="50"/>
  <c r="BF78" i="50"/>
  <c r="AW78" i="50"/>
  <c r="BD78" i="10"/>
  <c r="AU78" i="10"/>
  <c r="AL78" i="10"/>
  <c r="BR78" i="50"/>
  <c r="AZ78" i="50"/>
  <c r="BP78" i="10"/>
  <c r="BK78" i="10"/>
  <c r="BG78" i="10"/>
  <c r="BB78" i="10"/>
  <c r="AW78" i="10"/>
  <c r="AS78" i="10"/>
  <c r="AN78" i="10"/>
  <c r="AJ78" i="10"/>
  <c r="AE78" i="10"/>
  <c r="AA78" i="10"/>
  <c r="V78" i="10"/>
  <c r="V78" i="51"/>
  <c r="R78" i="51"/>
  <c r="BP78" i="50"/>
  <c r="BK78" i="50"/>
  <c r="BG78" i="50"/>
  <c r="BB78" i="50"/>
  <c r="AX78" i="50"/>
  <c r="AS78" i="50"/>
  <c r="AO78" i="50"/>
  <c r="AJ78" i="50"/>
  <c r="AE78" i="50"/>
  <c r="V78" i="50"/>
  <c r="BN28" i="10"/>
  <c r="BS27" i="10"/>
  <c r="BE27" i="10"/>
  <c r="AI27" i="10"/>
  <c r="BN27" i="10"/>
  <c r="BR28" i="10"/>
  <c r="BO27" i="10"/>
  <c r="Y27" i="50"/>
  <c r="AV27" i="10"/>
  <c r="U27" i="50"/>
  <c r="U28" i="51"/>
  <c r="X28" i="10"/>
  <c r="AG28" i="10"/>
  <c r="AQ28" i="10"/>
  <c r="AZ28" i="10"/>
  <c r="AC28" i="10"/>
  <c r="AL28" i="10"/>
  <c r="AU28" i="10"/>
  <c r="BD28" i="10"/>
  <c r="BF27" i="50"/>
  <c r="AR27" i="50"/>
  <c r="AW27" i="50"/>
  <c r="BA27" i="50"/>
  <c r="BS28" i="50"/>
  <c r="BA28" i="50"/>
  <c r="BO27" i="50"/>
  <c r="BA28" i="10"/>
  <c r="AI28" i="10"/>
  <c r="BO28" i="50"/>
  <c r="AW28" i="50"/>
  <c r="BJ27" i="50"/>
  <c r="AV28" i="10"/>
  <c r="AD28" i="10"/>
  <c r="X27" i="10"/>
  <c r="AG27" i="10"/>
  <c r="AQ27" i="10"/>
  <c r="AZ27" i="10"/>
  <c r="T27" i="10"/>
  <c r="AC27" i="10"/>
  <c r="AL27" i="10"/>
  <c r="AU27" i="10"/>
  <c r="BD27" i="10"/>
  <c r="Y28" i="51"/>
  <c r="BJ28" i="50"/>
  <c r="AR28" i="50"/>
  <c r="BF28" i="50"/>
  <c r="T28" i="51"/>
  <c r="X27" i="51"/>
  <c r="T27" i="51"/>
  <c r="BR28" i="50"/>
  <c r="BE28" i="50"/>
  <c r="AU28" i="50"/>
  <c r="AL28" i="50"/>
  <c r="AC28" i="50"/>
  <c r="BN27" i="50"/>
  <c r="BE27" i="50"/>
  <c r="AU27" i="50"/>
  <c r="AL27" i="50"/>
  <c r="AC27" i="50"/>
  <c r="T27" i="50"/>
  <c r="BQ28" i="10"/>
  <c r="BL28" i="10"/>
  <c r="BH28" i="10"/>
  <c r="BC28" i="10"/>
  <c r="AY28" i="10"/>
  <c r="AT28" i="10"/>
  <c r="AO28" i="10"/>
  <c r="AK28" i="10"/>
  <c r="AF28" i="10"/>
  <c r="AB28" i="10"/>
  <c r="W28" i="10"/>
  <c r="S28" i="10"/>
  <c r="BQ27" i="10"/>
  <c r="BL27" i="10"/>
  <c r="BH27" i="10"/>
  <c r="BC27" i="10"/>
  <c r="AY27" i="10"/>
  <c r="AT27" i="10"/>
  <c r="AO27" i="10"/>
  <c r="AK27" i="10"/>
  <c r="AF27" i="10"/>
  <c r="AB27" i="10"/>
  <c r="W27" i="10"/>
  <c r="S27" i="10"/>
  <c r="W28" i="51"/>
  <c r="S28" i="51"/>
  <c r="W27" i="51"/>
  <c r="S27" i="51"/>
  <c r="BQ28" i="50"/>
  <c r="BM28" i="50"/>
  <c r="BH28" i="50"/>
  <c r="BC28" i="50"/>
  <c r="AY28" i="50"/>
  <c r="AT28" i="50"/>
  <c r="AP28" i="50"/>
  <c r="AK28" i="50"/>
  <c r="AF28" i="50"/>
  <c r="AB28" i="50"/>
  <c r="W28" i="50"/>
  <c r="S28" i="50"/>
  <c r="BQ27" i="50"/>
  <c r="BM27" i="50"/>
  <c r="BH27" i="50"/>
  <c r="BC27" i="50"/>
  <c r="AY27" i="50"/>
  <c r="AT27" i="50"/>
  <c r="AP27" i="50"/>
  <c r="AK27" i="50"/>
  <c r="AF27" i="50"/>
  <c r="AB27" i="50"/>
  <c r="W27" i="50"/>
  <c r="S27" i="50"/>
  <c r="T28" i="10"/>
  <c r="BN28" i="50"/>
  <c r="BI28" i="50"/>
  <c r="AZ28" i="50"/>
  <c r="AQ28" i="50"/>
  <c r="AH28" i="50"/>
  <c r="X28" i="50"/>
  <c r="T28" i="50"/>
  <c r="BR27" i="50"/>
  <c r="BI27" i="50"/>
  <c r="AZ27" i="50"/>
  <c r="AQ27" i="50"/>
  <c r="AH27" i="50"/>
  <c r="BP28" i="10"/>
  <c r="BK28" i="10"/>
  <c r="BG28" i="10"/>
  <c r="BB28" i="10"/>
  <c r="AW28" i="10"/>
  <c r="AS28" i="10"/>
  <c r="AN28" i="10"/>
  <c r="AJ28" i="10"/>
  <c r="AE28" i="10"/>
  <c r="AA28" i="10"/>
  <c r="V28" i="10"/>
  <c r="BP27" i="10"/>
  <c r="BK27" i="10"/>
  <c r="BG27" i="10"/>
  <c r="BB27" i="10"/>
  <c r="AW27" i="10"/>
  <c r="AS27" i="10"/>
  <c r="AN27" i="10"/>
  <c r="AJ27" i="10"/>
  <c r="AE27" i="10"/>
  <c r="AA27" i="10"/>
  <c r="V27" i="10"/>
  <c r="V28" i="51"/>
  <c r="R28" i="51"/>
  <c r="V27" i="51"/>
  <c r="R27" i="51"/>
  <c r="BP28" i="50"/>
  <c r="BK28" i="50"/>
  <c r="BG28" i="50"/>
  <c r="BB28" i="50"/>
  <c r="AX28" i="50"/>
  <c r="AS28" i="50"/>
  <c r="AO28" i="50"/>
  <c r="AJ28" i="50"/>
  <c r="AE28" i="50"/>
  <c r="V28" i="50"/>
  <c r="BP27" i="50"/>
  <c r="BK27" i="50"/>
  <c r="BG27" i="50"/>
  <c r="BB27" i="50"/>
  <c r="AX27" i="50"/>
  <c r="AS27" i="50"/>
  <c r="AO27" i="50"/>
  <c r="AJ27" i="50"/>
  <c r="AE27" i="50"/>
  <c r="V27" i="50"/>
  <c r="BE12" i="10"/>
  <c r="BS11" i="10"/>
  <c r="AA12" i="50"/>
  <c r="BN12" i="10"/>
  <c r="BR12" i="10"/>
  <c r="BI12" i="10"/>
  <c r="Y12" i="50"/>
  <c r="Y11" i="50"/>
  <c r="BE11" i="10"/>
  <c r="U11" i="10"/>
  <c r="U11" i="50"/>
  <c r="BF12" i="50"/>
  <c r="AR12" i="50"/>
  <c r="AW12" i="50"/>
  <c r="BA12" i="50"/>
  <c r="X12" i="10"/>
  <c r="AG12" i="10"/>
  <c r="AQ12" i="10"/>
  <c r="AZ12" i="10"/>
  <c r="T12" i="10"/>
  <c r="AC12" i="10"/>
  <c r="AL12" i="10"/>
  <c r="AU12" i="10"/>
  <c r="BD12" i="10"/>
  <c r="AV11" i="10"/>
  <c r="AD11" i="10"/>
  <c r="X11" i="51"/>
  <c r="AR11" i="50"/>
  <c r="AW11" i="50"/>
  <c r="BA11" i="50"/>
  <c r="BJ11" i="50"/>
  <c r="BS11" i="50"/>
  <c r="BF11" i="50"/>
  <c r="BO11" i="50"/>
  <c r="BS12" i="50"/>
  <c r="BA12" i="10"/>
  <c r="AI12" i="10"/>
  <c r="AR11" i="10"/>
  <c r="BO12" i="50"/>
  <c r="X11" i="10"/>
  <c r="AG11" i="10"/>
  <c r="AQ11" i="10"/>
  <c r="AZ11" i="10"/>
  <c r="AC11" i="10"/>
  <c r="AL11" i="10"/>
  <c r="AU11" i="10"/>
  <c r="BD11" i="10"/>
  <c r="Y12" i="51"/>
  <c r="BJ12" i="50"/>
  <c r="X12" i="51"/>
  <c r="T12" i="51"/>
  <c r="BN12" i="50"/>
  <c r="BE12" i="50"/>
  <c r="AU12" i="50"/>
  <c r="AL12" i="50"/>
  <c r="AC12" i="50"/>
  <c r="BR11" i="50"/>
  <c r="BI11" i="50"/>
  <c r="AZ11" i="50"/>
  <c r="AQ11" i="50"/>
  <c r="AL11" i="50"/>
  <c r="AC11" i="50"/>
  <c r="BQ12" i="10"/>
  <c r="BL12" i="10"/>
  <c r="BH12" i="10"/>
  <c r="BC12" i="10"/>
  <c r="AY12" i="10"/>
  <c r="AT12" i="10"/>
  <c r="AO12" i="10"/>
  <c r="AK12" i="10"/>
  <c r="AF12" i="10"/>
  <c r="AB12" i="10"/>
  <c r="W12" i="10"/>
  <c r="S12" i="10"/>
  <c r="BQ11" i="10"/>
  <c r="BL11" i="10"/>
  <c r="BH11" i="10"/>
  <c r="BC11" i="10"/>
  <c r="AY11" i="10"/>
  <c r="AT11" i="10"/>
  <c r="AO11" i="10"/>
  <c r="AK11" i="10"/>
  <c r="AF11" i="10"/>
  <c r="AB11" i="10"/>
  <c r="W11" i="10"/>
  <c r="S11" i="10"/>
  <c r="W12" i="51"/>
  <c r="S12" i="51"/>
  <c r="W11" i="51"/>
  <c r="S11" i="51"/>
  <c r="BQ12" i="50"/>
  <c r="BM12" i="50"/>
  <c r="BH12" i="50"/>
  <c r="BC12" i="50"/>
  <c r="AY12" i="50"/>
  <c r="AT12" i="50"/>
  <c r="AP12" i="50"/>
  <c r="AK12" i="50"/>
  <c r="AF12" i="50"/>
  <c r="AB12" i="50"/>
  <c r="W12" i="50"/>
  <c r="S12" i="50"/>
  <c r="BQ11" i="50"/>
  <c r="BM11" i="50"/>
  <c r="BH11" i="50"/>
  <c r="BC11" i="50"/>
  <c r="AY11" i="50"/>
  <c r="AT11" i="50"/>
  <c r="AP11" i="50"/>
  <c r="AK11" i="50"/>
  <c r="AF11" i="50"/>
  <c r="AB11" i="50"/>
  <c r="W11" i="50"/>
  <c r="S11" i="50"/>
  <c r="T11" i="10"/>
  <c r="T11" i="51"/>
  <c r="BR12" i="50"/>
  <c r="BI12" i="50"/>
  <c r="AZ12" i="50"/>
  <c r="AQ12" i="50"/>
  <c r="AH12" i="50"/>
  <c r="X12" i="50"/>
  <c r="T12" i="50"/>
  <c r="BN11" i="50"/>
  <c r="BE11" i="50"/>
  <c r="AU11" i="50"/>
  <c r="AH11" i="50"/>
  <c r="T11" i="50"/>
  <c r="BP12" i="10"/>
  <c r="BK12" i="10"/>
  <c r="BG12" i="10"/>
  <c r="BB12" i="10"/>
  <c r="AW12" i="10"/>
  <c r="AS12" i="10"/>
  <c r="AN12" i="10"/>
  <c r="AJ12" i="10"/>
  <c r="AE12" i="10"/>
  <c r="AA12" i="10"/>
  <c r="V12" i="10"/>
  <c r="BP11" i="10"/>
  <c r="BK11" i="10"/>
  <c r="BG11" i="10"/>
  <c r="BB11" i="10"/>
  <c r="AW11" i="10"/>
  <c r="AS11" i="10"/>
  <c r="AN11" i="10"/>
  <c r="AJ11" i="10"/>
  <c r="AE11" i="10"/>
  <c r="AA11" i="10"/>
  <c r="V11" i="10"/>
  <c r="V12" i="51"/>
  <c r="R12" i="51"/>
  <c r="V11" i="51"/>
  <c r="R11" i="51"/>
  <c r="BP12" i="50"/>
  <c r="BK12" i="50"/>
  <c r="BG12" i="50"/>
  <c r="BB12" i="50"/>
  <c r="AX12" i="50"/>
  <c r="AS12" i="50"/>
  <c r="AO12" i="50"/>
  <c r="AJ12" i="50"/>
  <c r="AE12" i="50"/>
  <c r="V12" i="50"/>
  <c r="BP11" i="50"/>
  <c r="BK11" i="50"/>
  <c r="BG11" i="50"/>
  <c r="BB11" i="50"/>
  <c r="AX11" i="50"/>
  <c r="AS11" i="50"/>
  <c r="AO11" i="50"/>
  <c r="AJ11" i="50"/>
  <c r="AE11" i="50"/>
  <c r="V11" i="50"/>
  <c r="B26" i="147"/>
  <c r="B26" i="148"/>
  <c r="B23" i="145"/>
  <c r="E42" i="37"/>
  <c r="B22" i="37"/>
  <c r="B17" i="37"/>
  <c r="B18" i="37" s="1"/>
  <c r="AB13" i="37"/>
  <c r="O14" i="37" s="1"/>
  <c r="E42" i="139"/>
  <c r="B22" i="139"/>
  <c r="B18" i="139"/>
  <c r="P14" i="139"/>
  <c r="O14" i="139"/>
  <c r="N14" i="139"/>
  <c r="M14" i="139"/>
  <c r="G14" i="139"/>
  <c r="L14" i="139" s="1"/>
  <c r="AB13" i="139"/>
  <c r="O42" i="53"/>
  <c r="O41" i="53"/>
  <c r="O40" i="53"/>
  <c r="O39" i="53"/>
  <c r="O38" i="53"/>
  <c r="O37" i="53"/>
  <c r="O42" i="52"/>
  <c r="O41" i="52"/>
  <c r="O40" i="52"/>
  <c r="O39" i="52"/>
  <c r="O38" i="52"/>
  <c r="O37" i="52"/>
  <c r="O40" i="2"/>
  <c r="O41" i="2"/>
  <c r="O42" i="2"/>
  <c r="O43" i="2"/>
  <c r="O44" i="2"/>
  <c r="O39" i="2"/>
  <c r="B21" i="37" l="1"/>
  <c r="B23" i="37" s="1"/>
  <c r="B25" i="37"/>
  <c r="B24" i="139"/>
  <c r="B19" i="139"/>
  <c r="B25" i="139"/>
  <c r="B21" i="139"/>
  <c r="B23" i="139" s="1"/>
  <c r="I20" i="76"/>
  <c r="I19" i="76"/>
  <c r="I18" i="76"/>
  <c r="I17" i="76"/>
  <c r="G14" i="127"/>
  <c r="H24" i="127"/>
  <c r="J17" i="18"/>
  <c r="J18" i="18"/>
  <c r="B25" i="17"/>
  <c r="N11" i="17"/>
  <c r="M11" i="17"/>
  <c r="L11" i="17"/>
  <c r="K11" i="17"/>
  <c r="J11" i="17"/>
  <c r="I11" i="17"/>
  <c r="H11" i="17"/>
  <c r="G11" i="17"/>
  <c r="B24" i="37" l="1"/>
  <c r="B27" i="37"/>
  <c r="B26" i="37"/>
  <c r="B27" i="139"/>
  <c r="B26" i="139"/>
  <c r="AC42" i="53"/>
  <c r="AC41" i="53"/>
  <c r="AC40" i="53"/>
  <c r="AC39" i="53"/>
  <c r="AC38" i="53"/>
  <c r="AC37" i="53"/>
  <c r="AC42" i="52"/>
  <c r="AC41" i="52"/>
  <c r="AC40" i="52"/>
  <c r="AC39" i="52"/>
  <c r="AC38" i="52"/>
  <c r="AC37" i="52"/>
  <c r="J25" i="18" l="1"/>
  <c r="G12" i="18" s="1"/>
  <c r="J24" i="18"/>
  <c r="J23" i="18"/>
  <c r="J22" i="18"/>
  <c r="J21" i="18"/>
  <c r="J20" i="18"/>
  <c r="J19" i="18"/>
  <c r="J28" i="76"/>
  <c r="J27" i="76"/>
  <c r="J26" i="76"/>
  <c r="J25" i="76"/>
  <c r="J24" i="76"/>
  <c r="J23" i="76"/>
  <c r="J22" i="76"/>
  <c r="J21" i="76"/>
  <c r="J20" i="76"/>
  <c r="J18" i="76"/>
  <c r="J19" i="76"/>
  <c r="J17" i="76"/>
  <c r="G13" i="18" l="1"/>
  <c r="N11" i="120" l="1"/>
  <c r="M11" i="120"/>
  <c r="L11" i="120"/>
  <c r="K11" i="120"/>
  <c r="I11" i="120"/>
  <c r="J11" i="120"/>
  <c r="H11" i="120"/>
  <c r="G11" i="120"/>
  <c r="J18" i="140"/>
  <c r="H16" i="140"/>
  <c r="B25" i="120"/>
  <c r="N75" i="51" l="1"/>
  <c r="N77" i="51"/>
  <c r="N76" i="51"/>
  <c r="N74" i="51"/>
  <c r="N77" i="50"/>
  <c r="N76" i="50"/>
  <c r="Q77" i="50"/>
  <c r="Q77" i="51"/>
  <c r="Q77" i="10"/>
  <c r="Q76" i="50"/>
  <c r="Q76" i="51"/>
  <c r="Q76" i="10"/>
  <c r="Q75" i="50"/>
  <c r="Q75" i="51"/>
  <c r="Q75" i="10"/>
  <c r="Q74" i="50"/>
  <c r="Q74" i="51"/>
  <c r="Q74" i="10"/>
  <c r="P77" i="50"/>
  <c r="P77" i="51"/>
  <c r="P77" i="10"/>
  <c r="P76" i="50"/>
  <c r="P76" i="51"/>
  <c r="P76" i="10"/>
  <c r="P75" i="50"/>
  <c r="P75" i="51"/>
  <c r="AB75" i="50" s="1"/>
  <c r="P75" i="10"/>
  <c r="P74" i="50"/>
  <c r="P74" i="51"/>
  <c r="P74" i="10"/>
  <c r="N77" i="10"/>
  <c r="M77" i="10"/>
  <c r="L77" i="50"/>
  <c r="L77" i="51"/>
  <c r="L77" i="10"/>
  <c r="L76" i="50"/>
  <c r="L76" i="51"/>
  <c r="L76" i="10"/>
  <c r="L75" i="50"/>
  <c r="L75" i="51"/>
  <c r="L75" i="10"/>
  <c r="L74" i="50"/>
  <c r="L74" i="51"/>
  <c r="L74" i="10"/>
  <c r="J77" i="50"/>
  <c r="J77" i="51"/>
  <c r="J77" i="10"/>
  <c r="J76" i="50"/>
  <c r="J76" i="51"/>
  <c r="J76" i="10"/>
  <c r="J75" i="50"/>
  <c r="J75" i="51"/>
  <c r="J75" i="10"/>
  <c r="J74" i="50"/>
  <c r="J74" i="51"/>
  <c r="J74" i="10"/>
  <c r="I77" i="50"/>
  <c r="I77" i="51"/>
  <c r="I77" i="10"/>
  <c r="I76" i="50"/>
  <c r="I76" i="51"/>
  <c r="I76" i="10"/>
  <c r="I75" i="50"/>
  <c r="I75" i="51"/>
  <c r="I75" i="10"/>
  <c r="I74" i="50"/>
  <c r="I74" i="51"/>
  <c r="I74" i="10"/>
  <c r="H77" i="50"/>
  <c r="O77" i="50" s="1"/>
  <c r="H77" i="51"/>
  <c r="H77" i="10"/>
  <c r="H75" i="51"/>
  <c r="G77" i="50"/>
  <c r="G77" i="51"/>
  <c r="G77" i="10"/>
  <c r="G76" i="50"/>
  <c r="G76" i="51"/>
  <c r="G76" i="10"/>
  <c r="G75" i="50"/>
  <c r="G75" i="51"/>
  <c r="G75" i="10"/>
  <c r="G74" i="50"/>
  <c r="G74" i="51"/>
  <c r="G74" i="10"/>
  <c r="F77" i="50"/>
  <c r="F77" i="51"/>
  <c r="F77" i="10"/>
  <c r="F76" i="50"/>
  <c r="F76" i="51"/>
  <c r="F76" i="10"/>
  <c r="F75" i="50"/>
  <c r="F75" i="51"/>
  <c r="F75" i="10"/>
  <c r="F74" i="50"/>
  <c r="F74" i="51"/>
  <c r="F74" i="10"/>
  <c r="E77" i="50"/>
  <c r="E77" i="51"/>
  <c r="E77" i="10"/>
  <c r="E76" i="50"/>
  <c r="E76" i="51"/>
  <c r="E76" i="10"/>
  <c r="E75" i="50"/>
  <c r="E75" i="51"/>
  <c r="E75" i="10"/>
  <c r="E74" i="50"/>
  <c r="E74" i="51"/>
  <c r="E74" i="10"/>
  <c r="D77" i="50"/>
  <c r="D77" i="51"/>
  <c r="D77" i="10"/>
  <c r="D76" i="50"/>
  <c r="D76" i="51"/>
  <c r="D76" i="10"/>
  <c r="D75" i="50"/>
  <c r="D75" i="51"/>
  <c r="D75" i="10"/>
  <c r="D74" i="50"/>
  <c r="D74" i="51"/>
  <c r="D74" i="10"/>
  <c r="C77" i="50"/>
  <c r="C77" i="51"/>
  <c r="C77" i="10"/>
  <c r="C76" i="50"/>
  <c r="C76" i="51"/>
  <c r="C76" i="10"/>
  <c r="C75" i="50"/>
  <c r="C75" i="51"/>
  <c r="C75" i="10"/>
  <c r="C74" i="50"/>
  <c r="C74" i="51"/>
  <c r="C74" i="10"/>
  <c r="B77" i="50"/>
  <c r="B77" i="51"/>
  <c r="B77" i="10"/>
  <c r="B76" i="50"/>
  <c r="B76" i="51"/>
  <c r="B76" i="10"/>
  <c r="B75" i="50"/>
  <c r="B75" i="51"/>
  <c r="B75" i="10"/>
  <c r="B74" i="50"/>
  <c r="B74" i="51"/>
  <c r="B74" i="10"/>
  <c r="E42" i="144"/>
  <c r="I25" i="144"/>
  <c r="I26" i="144" s="1"/>
  <c r="I27" i="144" s="1"/>
  <c r="I28" i="144" s="1"/>
  <c r="B24" i="144"/>
  <c r="M77" i="50" s="1"/>
  <c r="K23" i="144"/>
  <c r="K22" i="144"/>
  <c r="I22" i="144"/>
  <c r="B23" i="144"/>
  <c r="M14" i="144"/>
  <c r="L14" i="144"/>
  <c r="AB13" i="144"/>
  <c r="B19" i="142"/>
  <c r="N75" i="50" s="1"/>
  <c r="B25" i="143"/>
  <c r="N76" i="10" s="1"/>
  <c r="B21" i="143"/>
  <c r="B17" i="143"/>
  <c r="B23" i="143" s="1"/>
  <c r="M14" i="143"/>
  <c r="L14" i="143"/>
  <c r="K22" i="143"/>
  <c r="E42" i="143"/>
  <c r="AB13" i="143"/>
  <c r="E42" i="142"/>
  <c r="I22" i="142"/>
  <c r="I23" i="142" s="1"/>
  <c r="I24" i="142" s="1"/>
  <c r="I25" i="142" s="1"/>
  <c r="K20" i="142"/>
  <c r="K19" i="142"/>
  <c r="B17" i="142"/>
  <c r="H75" i="50" s="1"/>
  <c r="AB13" i="142"/>
  <c r="L11" i="142"/>
  <c r="B25" i="142" l="1"/>
  <c r="N75" i="10" s="1"/>
  <c r="AF77" i="50"/>
  <c r="U74" i="50"/>
  <c r="BE76" i="10"/>
  <c r="BN77" i="50"/>
  <c r="AC77" i="50"/>
  <c r="BA75" i="10"/>
  <c r="BS75" i="50"/>
  <c r="AC75" i="10"/>
  <c r="AU77" i="50"/>
  <c r="AI75" i="50"/>
  <c r="AB75" i="10"/>
  <c r="AZ75" i="10"/>
  <c r="BL74" i="10"/>
  <c r="O75" i="50"/>
  <c r="M77" i="51"/>
  <c r="B24" i="143"/>
  <c r="H76" i="51"/>
  <c r="O76" i="51" s="1"/>
  <c r="H76" i="50"/>
  <c r="O76" i="50" s="1"/>
  <c r="K76" i="50"/>
  <c r="K76" i="10"/>
  <c r="AV76" i="10" s="1"/>
  <c r="K76" i="51"/>
  <c r="H76" i="10"/>
  <c r="O76" i="10" s="1"/>
  <c r="AT75" i="50"/>
  <c r="H75" i="10"/>
  <c r="O75" i="10" s="1"/>
  <c r="U74" i="10"/>
  <c r="AH74" i="50"/>
  <c r="BN74" i="10"/>
  <c r="AC75" i="50"/>
  <c r="W76" i="50"/>
  <c r="W75" i="51"/>
  <c r="U76" i="50"/>
  <c r="AH75" i="50"/>
  <c r="W74" i="10"/>
  <c r="AU75" i="50"/>
  <c r="BO76" i="10"/>
  <c r="AZ77" i="50"/>
  <c r="BH75" i="50"/>
  <c r="AF75" i="50"/>
  <c r="AM75" i="50"/>
  <c r="BP77" i="10"/>
  <c r="AM76" i="10"/>
  <c r="S77" i="51"/>
  <c r="W74" i="51"/>
  <c r="AP77" i="50"/>
  <c r="Y77" i="51"/>
  <c r="BM77" i="50"/>
  <c r="T77" i="51"/>
  <c r="BS77" i="50"/>
  <c r="BA77" i="50"/>
  <c r="AM77" i="50"/>
  <c r="W74" i="50"/>
  <c r="X77" i="51"/>
  <c r="BH77" i="50"/>
  <c r="O75" i="51"/>
  <c r="AT74" i="10"/>
  <c r="BR74" i="10"/>
  <c r="BK74" i="10"/>
  <c r="AE75" i="50"/>
  <c r="AL75" i="50"/>
  <c r="AG74" i="10"/>
  <c r="AL74" i="50"/>
  <c r="AE74" i="50"/>
  <c r="BR77" i="10"/>
  <c r="BK77" i="10"/>
  <c r="AV77" i="10"/>
  <c r="O77" i="51"/>
  <c r="BR76" i="10"/>
  <c r="BK76" i="10"/>
  <c r="AE77" i="50"/>
  <c r="AL77" i="50"/>
  <c r="AE77" i="10"/>
  <c r="W77" i="51"/>
  <c r="U77" i="51"/>
  <c r="U74" i="51"/>
  <c r="BR77" i="50"/>
  <c r="BF77" i="50"/>
  <c r="AT77" i="50"/>
  <c r="W75" i="10"/>
  <c r="BR75" i="10"/>
  <c r="BK75" i="10"/>
  <c r="AB76" i="50"/>
  <c r="AL76" i="50"/>
  <c r="AE76" i="50"/>
  <c r="U77" i="10"/>
  <c r="BO77" i="10"/>
  <c r="AD77" i="10"/>
  <c r="AW77" i="10"/>
  <c r="R77" i="10"/>
  <c r="BG77" i="10"/>
  <c r="AN77" i="10"/>
  <c r="V77" i="10"/>
  <c r="S77" i="10"/>
  <c r="Y77" i="10"/>
  <c r="BE77" i="10"/>
  <c r="AM77" i="10"/>
  <c r="BN75" i="10"/>
  <c r="AO75" i="10"/>
  <c r="BL75" i="10"/>
  <c r="AM75" i="10"/>
  <c r="BE74" i="10"/>
  <c r="AI77" i="50"/>
  <c r="AB77" i="50"/>
  <c r="AH77" i="50"/>
  <c r="BS74" i="10"/>
  <c r="BH74" i="10"/>
  <c r="BB77" i="10"/>
  <c r="AS77" i="10"/>
  <c r="AJ77" i="10"/>
  <c r="AA77" i="10"/>
  <c r="BA77" i="10"/>
  <c r="AR77" i="10"/>
  <c r="AI77" i="10"/>
  <c r="Y75" i="51"/>
  <c r="S75" i="51"/>
  <c r="BN75" i="50"/>
  <c r="BA75" i="50"/>
  <c r="AP75" i="50"/>
  <c r="X75" i="51"/>
  <c r="U75" i="51"/>
  <c r="BM75" i="50"/>
  <c r="AZ75" i="50"/>
  <c r="T75" i="51"/>
  <c r="BR75" i="50"/>
  <c r="BF75" i="50"/>
  <c r="R76" i="10"/>
  <c r="V76" i="10"/>
  <c r="AA76" i="10"/>
  <c r="AE76" i="10"/>
  <c r="AJ76" i="10"/>
  <c r="S76" i="10"/>
  <c r="X76" i="10"/>
  <c r="AD76" i="10"/>
  <c r="AK76" i="10"/>
  <c r="AO76" i="10"/>
  <c r="AT76" i="10"/>
  <c r="AY76" i="10"/>
  <c r="BC76" i="10"/>
  <c r="BH76" i="10"/>
  <c r="BL76" i="10"/>
  <c r="BQ76" i="10"/>
  <c r="T76" i="10"/>
  <c r="Y76" i="10"/>
  <c r="AL76" i="10"/>
  <c r="AQ76" i="10"/>
  <c r="AU76" i="10"/>
  <c r="AZ76" i="10"/>
  <c r="BD76" i="10"/>
  <c r="BN76" i="10"/>
  <c r="BR74" i="50"/>
  <c r="BI77" i="10"/>
  <c r="BN77" i="10"/>
  <c r="AI76" i="10"/>
  <c r="AO74" i="10"/>
  <c r="W76" i="51"/>
  <c r="R77" i="50"/>
  <c r="V77" i="50"/>
  <c r="S77" i="50"/>
  <c r="X77" i="50"/>
  <c r="T77" i="50"/>
  <c r="Y77" i="50"/>
  <c r="BN76" i="50"/>
  <c r="BA76" i="50"/>
  <c r="AP76" i="50"/>
  <c r="AC76" i="50"/>
  <c r="R75" i="50"/>
  <c r="V75" i="50"/>
  <c r="S75" i="50"/>
  <c r="X75" i="50"/>
  <c r="T75" i="50"/>
  <c r="Y75" i="50"/>
  <c r="BN74" i="50"/>
  <c r="BA74" i="50"/>
  <c r="AP74" i="50"/>
  <c r="T77" i="10"/>
  <c r="X77" i="10"/>
  <c r="AC77" i="10"/>
  <c r="AG77" i="10"/>
  <c r="AL77" i="10"/>
  <c r="AQ77" i="10"/>
  <c r="AU77" i="10"/>
  <c r="AZ77" i="10"/>
  <c r="BD77" i="10"/>
  <c r="BS76" i="10"/>
  <c r="BJ76" i="10"/>
  <c r="BA76" i="10"/>
  <c r="AR76" i="10"/>
  <c r="AG76" i="10"/>
  <c r="U76" i="10"/>
  <c r="BS75" i="10"/>
  <c r="BH75" i="10"/>
  <c r="AU75" i="10"/>
  <c r="AI75" i="10"/>
  <c r="AZ74" i="10"/>
  <c r="AM74" i="10"/>
  <c r="AB74" i="10"/>
  <c r="V74" i="10"/>
  <c r="AA74" i="10"/>
  <c r="AE74" i="10"/>
  <c r="AJ74" i="10"/>
  <c r="AN74" i="10"/>
  <c r="AS74" i="10"/>
  <c r="AW74" i="10"/>
  <c r="BB74" i="10"/>
  <c r="BG74" i="10"/>
  <c r="BP74" i="10"/>
  <c r="S74" i="10"/>
  <c r="AD74" i="10"/>
  <c r="AK74" i="10"/>
  <c r="AQ74" i="10"/>
  <c r="BC74" i="10"/>
  <c r="BO74" i="10"/>
  <c r="T74" i="10"/>
  <c r="Y74" i="10"/>
  <c r="AL74" i="10"/>
  <c r="AR74" i="10"/>
  <c r="AY74" i="10"/>
  <c r="BD74" i="10"/>
  <c r="BJ74" i="10"/>
  <c r="BQ74" i="10"/>
  <c r="U76" i="51"/>
  <c r="AA74" i="50"/>
  <c r="AJ74" i="50"/>
  <c r="AO74" i="50"/>
  <c r="AS74" i="50"/>
  <c r="AX74" i="50"/>
  <c r="BB74" i="50"/>
  <c r="BG74" i="50"/>
  <c r="BK74" i="50"/>
  <c r="BP74" i="50"/>
  <c r="R74" i="51"/>
  <c r="V74" i="51"/>
  <c r="AD74" i="50"/>
  <c r="AK74" i="50"/>
  <c r="AQ74" i="50"/>
  <c r="AW74" i="50"/>
  <c r="BC74" i="50"/>
  <c r="BI74" i="50"/>
  <c r="BO74" i="50"/>
  <c r="S74" i="51"/>
  <c r="X74" i="51"/>
  <c r="AF74" i="50"/>
  <c r="AR74" i="50"/>
  <c r="AY74" i="50"/>
  <c r="BE74" i="50"/>
  <c r="BQ74" i="50"/>
  <c r="T74" i="51"/>
  <c r="Y74" i="51"/>
  <c r="W77" i="50"/>
  <c r="BM76" i="50"/>
  <c r="AZ76" i="50"/>
  <c r="AM76" i="50"/>
  <c r="R76" i="50"/>
  <c r="V76" i="50"/>
  <c r="S76" i="50"/>
  <c r="X76" i="50"/>
  <c r="T76" i="50"/>
  <c r="Y76" i="50"/>
  <c r="W75" i="50"/>
  <c r="BM74" i="50"/>
  <c r="AZ74" i="50"/>
  <c r="AM74" i="50"/>
  <c r="AB74" i="50"/>
  <c r="V74" i="50"/>
  <c r="S74" i="50"/>
  <c r="T74" i="50"/>
  <c r="Y74" i="50"/>
  <c r="AB76" i="10"/>
  <c r="AA76" i="50"/>
  <c r="AJ76" i="50"/>
  <c r="AO76" i="50"/>
  <c r="AS76" i="50"/>
  <c r="AX76" i="50"/>
  <c r="BB76" i="50"/>
  <c r="BG76" i="50"/>
  <c r="BK76" i="50"/>
  <c r="BP76" i="50"/>
  <c r="R76" i="51"/>
  <c r="V76" i="51"/>
  <c r="AD76" i="50"/>
  <c r="AK76" i="50"/>
  <c r="AQ76" i="50"/>
  <c r="AW76" i="50"/>
  <c r="BC76" i="50"/>
  <c r="BI76" i="50"/>
  <c r="BO76" i="50"/>
  <c r="S76" i="51"/>
  <c r="X76" i="51"/>
  <c r="AF76" i="50"/>
  <c r="AR76" i="50"/>
  <c r="AY76" i="50"/>
  <c r="BE76" i="50"/>
  <c r="BJ76" i="50"/>
  <c r="BQ76" i="50"/>
  <c r="T76" i="51"/>
  <c r="Y76" i="51"/>
  <c r="BR76" i="50"/>
  <c r="BF76" i="50"/>
  <c r="AT76" i="50"/>
  <c r="AH76" i="50"/>
  <c r="BF74" i="50"/>
  <c r="BB76" i="10"/>
  <c r="AS76" i="10"/>
  <c r="W76" i="10"/>
  <c r="R75" i="10"/>
  <c r="V75" i="10"/>
  <c r="AA75" i="10"/>
  <c r="AE75" i="10"/>
  <c r="AJ75" i="10"/>
  <c r="AN75" i="10"/>
  <c r="AS75" i="10"/>
  <c r="AW75" i="10"/>
  <c r="BB75" i="10"/>
  <c r="BG75" i="10"/>
  <c r="BP75" i="10"/>
  <c r="S75" i="10"/>
  <c r="X75" i="10"/>
  <c r="AD75" i="10"/>
  <c r="AK75" i="10"/>
  <c r="AQ75" i="10"/>
  <c r="BC75" i="10"/>
  <c r="BI75" i="10"/>
  <c r="BO75" i="10"/>
  <c r="T75" i="10"/>
  <c r="Y75" i="10"/>
  <c r="AF75" i="10"/>
  <c r="AL75" i="10"/>
  <c r="AR75" i="10"/>
  <c r="AY75" i="10"/>
  <c r="BD75" i="10"/>
  <c r="BJ75" i="10"/>
  <c r="BQ75" i="10"/>
  <c r="BA74" i="10"/>
  <c r="AC74" i="10"/>
  <c r="BS77" i="10"/>
  <c r="BJ77" i="10"/>
  <c r="O77" i="10"/>
  <c r="BP76" i="10"/>
  <c r="BG76" i="10"/>
  <c r="AW76" i="10"/>
  <c r="AN76" i="10"/>
  <c r="AC76" i="10"/>
  <c r="BE75" i="10"/>
  <c r="AT75" i="10"/>
  <c r="AG75" i="10"/>
  <c r="U75" i="10"/>
  <c r="AU74" i="10"/>
  <c r="AI74" i="10"/>
  <c r="U77" i="50"/>
  <c r="BS76" i="50"/>
  <c r="BH76" i="50"/>
  <c r="AU76" i="50"/>
  <c r="AI76" i="50"/>
  <c r="U75" i="50"/>
  <c r="BS74" i="50"/>
  <c r="BH74" i="50"/>
  <c r="AU74" i="50"/>
  <c r="AI74" i="50"/>
  <c r="BQ77" i="50"/>
  <c r="BJ77" i="50"/>
  <c r="BE77" i="50"/>
  <c r="AY77" i="50"/>
  <c r="AR77" i="50"/>
  <c r="BQ75" i="50"/>
  <c r="BE75" i="50"/>
  <c r="AY75" i="50"/>
  <c r="AR75" i="50"/>
  <c r="BQ77" i="10"/>
  <c r="BL77" i="10"/>
  <c r="BH77" i="10"/>
  <c r="BC77" i="10"/>
  <c r="AY77" i="10"/>
  <c r="AT77" i="10"/>
  <c r="AO77" i="10"/>
  <c r="AK77" i="10"/>
  <c r="AF77" i="10"/>
  <c r="AB77" i="10"/>
  <c r="W77" i="10"/>
  <c r="AA77" i="50"/>
  <c r="AJ77" i="50"/>
  <c r="AO77" i="50"/>
  <c r="AS77" i="50"/>
  <c r="AX77" i="50"/>
  <c r="BB77" i="50"/>
  <c r="BG77" i="50"/>
  <c r="BK77" i="50"/>
  <c r="BP77" i="50"/>
  <c r="R77" i="51"/>
  <c r="V77" i="51"/>
  <c r="AA75" i="50"/>
  <c r="AJ75" i="50"/>
  <c r="AO75" i="50"/>
  <c r="AS75" i="50"/>
  <c r="AX75" i="50"/>
  <c r="BB75" i="50"/>
  <c r="BG75" i="50"/>
  <c r="BK75" i="50"/>
  <c r="BP75" i="50"/>
  <c r="R75" i="51"/>
  <c r="V75" i="51"/>
  <c r="BO77" i="50"/>
  <c r="BI77" i="50"/>
  <c r="BC77" i="50"/>
  <c r="AW77" i="50"/>
  <c r="AQ77" i="50"/>
  <c r="AK77" i="50"/>
  <c r="AD77" i="50"/>
  <c r="BO75" i="50"/>
  <c r="BI75" i="50"/>
  <c r="BC75" i="50"/>
  <c r="AW75" i="50"/>
  <c r="AQ75" i="50"/>
  <c r="AK75" i="50"/>
  <c r="AD75" i="50"/>
  <c r="K23" i="143"/>
  <c r="I25" i="143"/>
  <c r="I26" i="143" s="1"/>
  <c r="I27" i="143" s="1"/>
  <c r="I28" i="143" s="1"/>
  <c r="I26" i="142"/>
  <c r="I27" i="142" s="1"/>
  <c r="I28" i="142" s="1"/>
  <c r="AF76" i="10" l="1"/>
  <c r="BI76" i="10"/>
  <c r="M76" i="50"/>
  <c r="M76" i="51"/>
  <c r="M76" i="10"/>
  <c r="I20" i="142"/>
  <c r="I19" i="142"/>
  <c r="B21" i="142" l="1"/>
  <c r="B23" i="142" s="1"/>
  <c r="B24" i="142" l="1"/>
  <c r="K75" i="50"/>
  <c r="K75" i="51"/>
  <c r="BJ75" i="50" s="1"/>
  <c r="K75" i="10"/>
  <c r="AV75" i="10" s="1"/>
  <c r="E42" i="141"/>
  <c r="I22" i="141"/>
  <c r="I23" i="141" s="1"/>
  <c r="I24" i="141" s="1"/>
  <c r="I25" i="141" s="1"/>
  <c r="I26" i="141" s="1"/>
  <c r="I27" i="141" s="1"/>
  <c r="I28" i="141" s="1"/>
  <c r="K19" i="141"/>
  <c r="AB13" i="141"/>
  <c r="L11" i="141"/>
  <c r="K20" i="141"/>
  <c r="M75" i="50" l="1"/>
  <c r="M75" i="51"/>
  <c r="M75" i="10"/>
  <c r="B17" i="141"/>
  <c r="B25" i="141"/>
  <c r="N74" i="10" s="1"/>
  <c r="B19" i="141"/>
  <c r="N74" i="50" s="1"/>
  <c r="Q100" i="50"/>
  <c r="Q100" i="51"/>
  <c r="Q100" i="10"/>
  <c r="Q99" i="50"/>
  <c r="Q99" i="51"/>
  <c r="Q99" i="10"/>
  <c r="P100" i="50"/>
  <c r="P100" i="51"/>
  <c r="P100" i="10"/>
  <c r="P99" i="50"/>
  <c r="P99" i="51"/>
  <c r="P99" i="10"/>
  <c r="L100" i="50"/>
  <c r="L100" i="51"/>
  <c r="L100" i="10"/>
  <c r="J100" i="50"/>
  <c r="J100" i="51"/>
  <c r="J100" i="10"/>
  <c r="J99" i="50"/>
  <c r="J99" i="51"/>
  <c r="J99" i="10"/>
  <c r="I100" i="50"/>
  <c r="I100" i="51"/>
  <c r="I100" i="10"/>
  <c r="I99" i="50"/>
  <c r="I99" i="51"/>
  <c r="I99" i="10"/>
  <c r="H100" i="50"/>
  <c r="H100" i="51"/>
  <c r="H100" i="10"/>
  <c r="H99" i="50"/>
  <c r="H99" i="51"/>
  <c r="H99" i="10"/>
  <c r="G100" i="50"/>
  <c r="G100" i="51"/>
  <c r="G100" i="10"/>
  <c r="G99" i="50"/>
  <c r="G99" i="51"/>
  <c r="G99" i="10"/>
  <c r="F100" i="50"/>
  <c r="F100" i="51"/>
  <c r="F100" i="10"/>
  <c r="F99" i="50"/>
  <c r="F99" i="51"/>
  <c r="F99" i="10"/>
  <c r="E100" i="50"/>
  <c r="E100" i="51"/>
  <c r="E100" i="10"/>
  <c r="E99" i="50"/>
  <c r="E99" i="51"/>
  <c r="E99" i="10"/>
  <c r="D100" i="50"/>
  <c r="D100" i="51"/>
  <c r="D100" i="10"/>
  <c r="D99" i="50"/>
  <c r="D99" i="51"/>
  <c r="D99" i="10"/>
  <c r="C100" i="50"/>
  <c r="C100" i="51"/>
  <c r="C100" i="10"/>
  <c r="C99" i="50"/>
  <c r="C99" i="51"/>
  <c r="C99" i="10"/>
  <c r="B100" i="50"/>
  <c r="B100" i="51"/>
  <c r="B100" i="10"/>
  <c r="B99" i="50"/>
  <c r="B99" i="51"/>
  <c r="B99" i="10"/>
  <c r="AC99" i="10" l="1"/>
  <c r="X74" i="50"/>
  <c r="R74" i="50"/>
  <c r="R74" i="10"/>
  <c r="X74" i="10"/>
  <c r="H74" i="50"/>
  <c r="O74" i="50" s="1"/>
  <c r="H74" i="51"/>
  <c r="H74" i="10"/>
  <c r="BD99" i="10"/>
  <c r="BR100" i="10"/>
  <c r="BK100" i="10"/>
  <c r="AL100" i="50"/>
  <c r="AE100" i="50"/>
  <c r="AZ99" i="10"/>
  <c r="X99" i="10"/>
  <c r="BK99" i="10"/>
  <c r="BR99" i="10"/>
  <c r="AE99" i="50"/>
  <c r="AL99" i="50"/>
  <c r="BH99" i="50"/>
  <c r="BI99" i="10"/>
  <c r="AL99" i="10"/>
  <c r="AG99" i="10"/>
  <c r="T99" i="50"/>
  <c r="BT100" i="50"/>
  <c r="AC100" i="10"/>
  <c r="AT99" i="50"/>
  <c r="T100" i="50"/>
  <c r="AP99" i="50"/>
  <c r="U99" i="51"/>
  <c r="Y100" i="50"/>
  <c r="V99" i="50"/>
  <c r="BQ99" i="50"/>
  <c r="AC99" i="50"/>
  <c r="BC99" i="50"/>
  <c r="Y99" i="51"/>
  <c r="BO99" i="50"/>
  <c r="BM99" i="50"/>
  <c r="AY99" i="50"/>
  <c r="U99" i="50"/>
  <c r="U100" i="50"/>
  <c r="V99" i="51"/>
  <c r="T99" i="51"/>
  <c r="BS99" i="50"/>
  <c r="BJ99" i="50"/>
  <c r="T99" i="10"/>
  <c r="I20" i="141"/>
  <c r="I19" i="141"/>
  <c r="BN99" i="10"/>
  <c r="V100" i="50"/>
  <c r="W100" i="50"/>
  <c r="Y99" i="50"/>
  <c r="BB100" i="10"/>
  <c r="AS100" i="10"/>
  <c r="AJ100" i="10"/>
  <c r="AA100" i="10"/>
  <c r="AC100" i="50"/>
  <c r="AH100" i="50"/>
  <c r="AQ100" i="50"/>
  <c r="AU100" i="50"/>
  <c r="AZ100" i="50"/>
  <c r="BE100" i="50"/>
  <c r="BI100" i="50"/>
  <c r="BN100" i="50"/>
  <c r="BR100" i="50"/>
  <c r="U100" i="51"/>
  <c r="Y100" i="51"/>
  <c r="AD100" i="50"/>
  <c r="AI100" i="50"/>
  <c r="AM100" i="50"/>
  <c r="AR100" i="50"/>
  <c r="AW100" i="50"/>
  <c r="BA100" i="50"/>
  <c r="BF100" i="50"/>
  <c r="BJ100" i="50"/>
  <c r="BO100" i="50"/>
  <c r="BS100" i="50"/>
  <c r="V100" i="51"/>
  <c r="AA100" i="50"/>
  <c r="AJ100" i="50"/>
  <c r="AO100" i="50"/>
  <c r="AS100" i="50"/>
  <c r="AX100" i="50"/>
  <c r="BB100" i="50"/>
  <c r="BG100" i="50"/>
  <c r="BK100" i="50"/>
  <c r="BP100" i="50"/>
  <c r="W100" i="51"/>
  <c r="BI100" i="10"/>
  <c r="AZ100" i="10"/>
  <c r="AG100" i="10"/>
  <c r="X100" i="10"/>
  <c r="X100" i="51"/>
  <c r="AD99" i="50"/>
  <c r="AI99" i="50"/>
  <c r="AM99" i="50"/>
  <c r="AA99" i="50"/>
  <c r="AJ99" i="50"/>
  <c r="BC100" i="50"/>
  <c r="AK100" i="50"/>
  <c r="BP100" i="10"/>
  <c r="BG100" i="10"/>
  <c r="AW100" i="10"/>
  <c r="AN100" i="10"/>
  <c r="AE100" i="10"/>
  <c r="T100" i="10"/>
  <c r="T100" i="51"/>
  <c r="BQ100" i="50"/>
  <c r="AY100" i="50"/>
  <c r="AF100" i="50"/>
  <c r="AK99" i="50"/>
  <c r="BN100" i="10"/>
  <c r="BD100" i="10"/>
  <c r="AU100" i="10"/>
  <c r="AL100" i="10"/>
  <c r="U99" i="10"/>
  <c r="Y99" i="10"/>
  <c r="AD99" i="10"/>
  <c r="AI99" i="10"/>
  <c r="AM99" i="10"/>
  <c r="AR99" i="10"/>
  <c r="AV99" i="10"/>
  <c r="BA99" i="10"/>
  <c r="BE99" i="10"/>
  <c r="BJ99" i="10"/>
  <c r="BO99" i="10"/>
  <c r="BS99" i="10"/>
  <c r="V99" i="10"/>
  <c r="AA99" i="10"/>
  <c r="AE99" i="10"/>
  <c r="AJ99" i="10"/>
  <c r="AN99" i="10"/>
  <c r="AS99" i="10"/>
  <c r="AW99" i="10"/>
  <c r="BB99" i="10"/>
  <c r="BG99" i="10"/>
  <c r="BP99" i="10"/>
  <c r="AB99" i="10"/>
  <c r="AF99" i="10"/>
  <c r="AK99" i="10"/>
  <c r="AO99" i="10"/>
  <c r="AT99" i="10"/>
  <c r="BH99" i="10"/>
  <c r="BL99" i="10"/>
  <c r="BQ99" i="10"/>
  <c r="BT99" i="50"/>
  <c r="BM100" i="50"/>
  <c r="AT100" i="50"/>
  <c r="AB100" i="50"/>
  <c r="AF99" i="50"/>
  <c r="U100" i="10"/>
  <c r="Y100" i="10"/>
  <c r="AD100" i="10"/>
  <c r="AI100" i="10"/>
  <c r="AM100" i="10"/>
  <c r="AR100" i="10"/>
  <c r="AV100" i="10"/>
  <c r="BA100" i="10"/>
  <c r="BE100" i="10"/>
  <c r="BJ100" i="10"/>
  <c r="BO100" i="10"/>
  <c r="BS100" i="10"/>
  <c r="V100" i="10"/>
  <c r="W100" i="10"/>
  <c r="AB100" i="10"/>
  <c r="AF100" i="10"/>
  <c r="AK100" i="10"/>
  <c r="AO100" i="10"/>
  <c r="AT100" i="10"/>
  <c r="AY100" i="10"/>
  <c r="BC100" i="10"/>
  <c r="BH100" i="10"/>
  <c r="BL100" i="10"/>
  <c r="BQ100" i="10"/>
  <c r="BH100" i="50"/>
  <c r="AP100" i="50"/>
  <c r="AB99" i="50"/>
  <c r="BP99" i="50"/>
  <c r="BK99" i="50"/>
  <c r="BG99" i="50"/>
  <c r="BB99" i="50"/>
  <c r="AX99" i="50"/>
  <c r="AS99" i="50"/>
  <c r="AO99" i="50"/>
  <c r="BF99" i="50"/>
  <c r="BA99" i="50"/>
  <c r="AW99" i="50"/>
  <c r="AR99" i="50"/>
  <c r="X99" i="51"/>
  <c r="X100" i="50"/>
  <c r="BR99" i="50"/>
  <c r="BN99" i="50"/>
  <c r="BI99" i="50"/>
  <c r="BE99" i="50"/>
  <c r="AZ99" i="50"/>
  <c r="AU99" i="50"/>
  <c r="AQ99" i="50"/>
  <c r="AH99" i="50"/>
  <c r="X99" i="50"/>
  <c r="G16" i="140"/>
  <c r="O74" i="10" l="1"/>
  <c r="BI74" i="10"/>
  <c r="AF74" i="10"/>
  <c r="O74" i="51"/>
  <c r="AC74" i="50"/>
  <c r="AT74" i="50"/>
  <c r="B19" i="140"/>
  <c r="B21" i="140"/>
  <c r="B20" i="140"/>
  <c r="B25" i="140"/>
  <c r="B21" i="141"/>
  <c r="G12" i="140"/>
  <c r="I11" i="140"/>
  <c r="G11" i="140"/>
  <c r="E42" i="140"/>
  <c r="AB13" i="140"/>
  <c r="G12" i="30"/>
  <c r="K74" i="51" l="1"/>
  <c r="BJ74" i="50" s="1"/>
  <c r="K74" i="10"/>
  <c r="AV74" i="10" s="1"/>
  <c r="K74" i="50"/>
  <c r="B23" i="140"/>
  <c r="B24" i="140"/>
  <c r="K100" i="50"/>
  <c r="K100" i="10"/>
  <c r="AQ100" i="10" s="1"/>
  <c r="K100" i="51"/>
  <c r="L99" i="10"/>
  <c r="L99" i="50"/>
  <c r="L99" i="51"/>
  <c r="K99" i="50"/>
  <c r="K99" i="10"/>
  <c r="K99" i="51"/>
  <c r="N100" i="51"/>
  <c r="N100" i="50"/>
  <c r="N100" i="10"/>
  <c r="O100" i="10" s="1"/>
  <c r="N99" i="51"/>
  <c r="W99" i="51" s="1"/>
  <c r="N99" i="10"/>
  <c r="N99" i="50"/>
  <c r="W99" i="50" s="1"/>
  <c r="B23" i="141"/>
  <c r="B24" i="141"/>
  <c r="B27" i="140"/>
  <c r="AC44" i="2"/>
  <c r="AC43" i="2"/>
  <c r="B19" i="120" s="1"/>
  <c r="AC42" i="2"/>
  <c r="AC41" i="2"/>
  <c r="AC40" i="2"/>
  <c r="B19" i="17" s="1"/>
  <c r="AC39" i="2"/>
  <c r="M74" i="50" l="1"/>
  <c r="M74" i="51"/>
  <c r="M74" i="10"/>
  <c r="O99" i="10"/>
  <c r="W99" i="10"/>
  <c r="AQ99" i="10"/>
  <c r="AU99" i="10"/>
  <c r="AY99" i="10"/>
  <c r="BC99" i="10"/>
  <c r="M100" i="10"/>
  <c r="M100" i="50"/>
  <c r="M100" i="51"/>
  <c r="M99" i="50"/>
  <c r="M99" i="10"/>
  <c r="M99" i="51"/>
  <c r="R100" i="50"/>
  <c r="S100" i="50"/>
  <c r="S100" i="51"/>
  <c r="R100" i="51"/>
  <c r="S99" i="50"/>
  <c r="R99" i="50"/>
  <c r="S99" i="51"/>
  <c r="R99" i="51"/>
  <c r="S100" i="10"/>
  <c r="R100" i="10"/>
  <c r="R99" i="10"/>
  <c r="S99" i="10"/>
  <c r="E54" i="51"/>
  <c r="E54" i="50"/>
  <c r="Z127" i="50"/>
  <c r="AG127" i="50"/>
  <c r="AN127" i="50"/>
  <c r="AV127" i="50"/>
  <c r="BD127" i="50"/>
  <c r="BL127" i="50"/>
  <c r="Z128" i="50"/>
  <c r="AG128" i="50"/>
  <c r="AN128" i="50"/>
  <c r="AV128" i="50"/>
  <c r="BD128" i="50"/>
  <c r="BL128" i="50"/>
  <c r="E54" i="10"/>
  <c r="L11" i="119" l="1"/>
  <c r="M16" i="30"/>
  <c r="AB13" i="30"/>
  <c r="AB13" i="17" l="1"/>
  <c r="AB13" i="18"/>
  <c r="AB13" i="76"/>
  <c r="AB13" i="78"/>
  <c r="AB13" i="21"/>
  <c r="AB13" i="22"/>
  <c r="AB13" i="69"/>
  <c r="AB13" i="24"/>
  <c r="AB13" i="26"/>
  <c r="AB13" i="94"/>
  <c r="AB13" i="27"/>
  <c r="AB13" i="28"/>
  <c r="AB13" i="43"/>
  <c r="AB13" i="75"/>
  <c r="AB13" i="83"/>
  <c r="AB13" i="84"/>
  <c r="AB13" i="85"/>
  <c r="AB13" i="25"/>
  <c r="AB13" i="121"/>
  <c r="AB13" i="41"/>
  <c r="AB13" i="42"/>
  <c r="AB13" i="95"/>
  <c r="AB13" i="138"/>
  <c r="AB13" i="123"/>
  <c r="AB13" i="124"/>
  <c r="AB13" i="125"/>
  <c r="AB13" i="45"/>
  <c r="AB13" i="46"/>
  <c r="AB13" i="54"/>
  <c r="AB13" i="55"/>
  <c r="AB13" i="119"/>
  <c r="AB13" i="57"/>
  <c r="AB13" i="56"/>
  <c r="AB13" i="16"/>
  <c r="AB13" i="29"/>
  <c r="AB13" i="31"/>
  <c r="AB13" i="32"/>
  <c r="AB13" i="33"/>
  <c r="AB13" i="34"/>
  <c r="AB13" i="72"/>
  <c r="AB13" i="35"/>
  <c r="AB13" i="127"/>
  <c r="AB13" i="44"/>
  <c r="AB13" i="39"/>
  <c r="AB13" i="40"/>
  <c r="AB13" i="15"/>
  <c r="AB13" i="38"/>
  <c r="AB13" i="77"/>
  <c r="AB13" i="129"/>
  <c r="AB13" i="19"/>
  <c r="AB13" i="74"/>
  <c r="AB13" i="73"/>
  <c r="AB13" i="93"/>
  <c r="AB13" i="20"/>
  <c r="AB13" i="120"/>
  <c r="AB13" i="79"/>
  <c r="G14" i="55" l="1"/>
  <c r="N104" i="51" l="1"/>
  <c r="N57" i="51"/>
  <c r="N34" i="51"/>
  <c r="N26" i="51"/>
  <c r="N25" i="51"/>
  <c r="N24" i="51"/>
  <c r="N23" i="51"/>
  <c r="N22" i="51"/>
  <c r="N17" i="51"/>
  <c r="N10" i="51"/>
  <c r="N9" i="51"/>
  <c r="N8" i="51"/>
  <c r="N104" i="50"/>
  <c r="N26" i="50"/>
  <c r="N25" i="50"/>
  <c r="N24" i="50"/>
  <c r="N23" i="50"/>
  <c r="N10" i="50"/>
  <c r="N9" i="50"/>
  <c r="N8" i="50"/>
  <c r="G14" i="94" l="1"/>
  <c r="K19" i="5" l="1"/>
  <c r="K18" i="5"/>
  <c r="B17" i="86" l="1"/>
  <c r="G11" i="34" l="1"/>
  <c r="G11" i="33"/>
  <c r="G11" i="32"/>
  <c r="I16" i="31"/>
  <c r="G11" i="31"/>
  <c r="I16" i="29"/>
  <c r="G11" i="29"/>
  <c r="G14" i="43"/>
  <c r="G11" i="26"/>
  <c r="B19" i="121"/>
  <c r="B17" i="25"/>
  <c r="B19" i="25"/>
  <c r="Q57" i="50"/>
  <c r="Q57" i="51"/>
  <c r="Q57" i="10"/>
  <c r="P57" i="50"/>
  <c r="P57" i="51"/>
  <c r="P57" i="10"/>
  <c r="L57" i="50"/>
  <c r="L57" i="51"/>
  <c r="L57" i="10"/>
  <c r="I57" i="50"/>
  <c r="I57" i="51"/>
  <c r="I57" i="10"/>
  <c r="G57" i="50"/>
  <c r="G57" i="51"/>
  <c r="G57" i="10"/>
  <c r="F57" i="50"/>
  <c r="F57" i="51"/>
  <c r="F57" i="10"/>
  <c r="E57" i="50"/>
  <c r="E57" i="51"/>
  <c r="E57" i="10"/>
  <c r="D57" i="50"/>
  <c r="D57" i="51"/>
  <c r="D57" i="10"/>
  <c r="C57" i="50"/>
  <c r="C57" i="51"/>
  <c r="C57" i="10"/>
  <c r="B57" i="50"/>
  <c r="B57" i="51"/>
  <c r="B57" i="10"/>
  <c r="E42" i="138"/>
  <c r="B17" i="138"/>
  <c r="H57" i="51" s="1"/>
  <c r="AG16" i="138"/>
  <c r="AC21" i="138" s="1"/>
  <c r="AF16" i="138"/>
  <c r="AC20" i="138" s="1"/>
  <c r="I14" i="138"/>
  <c r="H22" i="138" s="1"/>
  <c r="H14" i="138"/>
  <c r="I22" i="138"/>
  <c r="K17" i="138"/>
  <c r="J17" i="138"/>
  <c r="I21" i="138"/>
  <c r="T11" i="24"/>
  <c r="T11" i="69"/>
  <c r="T10" i="24"/>
  <c r="T10" i="69"/>
  <c r="T11" i="22"/>
  <c r="T10" i="22"/>
  <c r="T11" i="21"/>
  <c r="T10" i="21"/>
  <c r="Q104" i="50"/>
  <c r="Q104" i="51"/>
  <c r="Q104" i="10"/>
  <c r="P104" i="50"/>
  <c r="P104" i="51"/>
  <c r="P104" i="10"/>
  <c r="J104" i="50"/>
  <c r="J104" i="51"/>
  <c r="J104" i="10"/>
  <c r="I104" i="50"/>
  <c r="I104" i="51"/>
  <c r="I104" i="10"/>
  <c r="H104" i="50"/>
  <c r="H104" i="51"/>
  <c r="H104" i="10"/>
  <c r="G104" i="50"/>
  <c r="G104" i="51"/>
  <c r="G104" i="10"/>
  <c r="F104" i="50"/>
  <c r="F104" i="51"/>
  <c r="F104" i="10"/>
  <c r="E104" i="50"/>
  <c r="E104" i="51"/>
  <c r="E104" i="10"/>
  <c r="D104" i="50"/>
  <c r="D104" i="51"/>
  <c r="D104" i="10"/>
  <c r="C104" i="50"/>
  <c r="C104" i="51"/>
  <c r="C104" i="10"/>
  <c r="B104" i="50"/>
  <c r="B104" i="51"/>
  <c r="B104" i="10"/>
  <c r="Q26" i="50"/>
  <c r="Q26" i="51"/>
  <c r="Q26" i="10"/>
  <c r="Q25" i="50"/>
  <c r="Q25" i="51"/>
  <c r="Q25" i="10"/>
  <c r="Q24" i="50"/>
  <c r="Q24" i="51"/>
  <c r="Q24" i="10"/>
  <c r="Q23" i="50"/>
  <c r="Q23" i="51"/>
  <c r="Q23" i="10"/>
  <c r="Q22" i="50"/>
  <c r="Q22" i="51"/>
  <c r="Q22" i="10"/>
  <c r="P26" i="50"/>
  <c r="P26" i="51"/>
  <c r="R26" i="51" s="1"/>
  <c r="P26" i="10"/>
  <c r="P25" i="50"/>
  <c r="P25" i="51"/>
  <c r="P25" i="10"/>
  <c r="P24" i="50"/>
  <c r="P24" i="51"/>
  <c r="P24" i="10"/>
  <c r="P23" i="50"/>
  <c r="P23" i="51"/>
  <c r="P23" i="10"/>
  <c r="P22" i="50"/>
  <c r="P22" i="51"/>
  <c r="P22" i="10"/>
  <c r="N26" i="10"/>
  <c r="N25" i="10"/>
  <c r="N24" i="10"/>
  <c r="N23" i="10"/>
  <c r="M26" i="50"/>
  <c r="M26" i="51"/>
  <c r="M26" i="10"/>
  <c r="L26" i="50"/>
  <c r="L26" i="51"/>
  <c r="L26" i="10"/>
  <c r="L25" i="50"/>
  <c r="L25" i="51"/>
  <c r="L25" i="10"/>
  <c r="L24" i="50"/>
  <c r="L24" i="51"/>
  <c r="L24" i="10"/>
  <c r="L23" i="50"/>
  <c r="L23" i="51"/>
  <c r="L23" i="10"/>
  <c r="L22" i="50"/>
  <c r="L22" i="51"/>
  <c r="L22" i="10"/>
  <c r="K26" i="50"/>
  <c r="K26" i="51"/>
  <c r="K26" i="10"/>
  <c r="K25" i="50"/>
  <c r="K25" i="51"/>
  <c r="K25" i="10"/>
  <c r="K24" i="50"/>
  <c r="K24" i="51"/>
  <c r="K24" i="10"/>
  <c r="K23" i="50"/>
  <c r="K23" i="51"/>
  <c r="K23" i="10"/>
  <c r="J26" i="50"/>
  <c r="J26" i="51"/>
  <c r="J26" i="10"/>
  <c r="J25" i="50"/>
  <c r="J25" i="51"/>
  <c r="J25" i="10"/>
  <c r="J24" i="50"/>
  <c r="J24" i="51"/>
  <c r="J24" i="10"/>
  <c r="J23" i="50"/>
  <c r="J23" i="51"/>
  <c r="J23" i="10"/>
  <c r="I22" i="50"/>
  <c r="I22" i="51"/>
  <c r="I22" i="10"/>
  <c r="H26" i="50"/>
  <c r="H26" i="51"/>
  <c r="H26" i="10"/>
  <c r="H23" i="50"/>
  <c r="H23" i="51"/>
  <c r="H22" i="50"/>
  <c r="H22" i="51"/>
  <c r="H22" i="10"/>
  <c r="G26" i="50"/>
  <c r="G26" i="51"/>
  <c r="G26" i="10"/>
  <c r="G25" i="50"/>
  <c r="G25" i="51"/>
  <c r="G25" i="10"/>
  <c r="G24" i="50"/>
  <c r="G24" i="51"/>
  <c r="G24" i="10"/>
  <c r="G23" i="50"/>
  <c r="G23" i="51"/>
  <c r="G23" i="10"/>
  <c r="G22" i="50"/>
  <c r="G22" i="51"/>
  <c r="G22" i="10"/>
  <c r="F26" i="50"/>
  <c r="F26" i="51"/>
  <c r="F26" i="10"/>
  <c r="F25" i="50"/>
  <c r="F25" i="51"/>
  <c r="F25" i="10"/>
  <c r="F24" i="50"/>
  <c r="F24" i="51"/>
  <c r="F24" i="10"/>
  <c r="F23" i="50"/>
  <c r="F23" i="51"/>
  <c r="F23" i="10"/>
  <c r="F22" i="50"/>
  <c r="F22" i="51"/>
  <c r="F22" i="10"/>
  <c r="E26" i="50"/>
  <c r="E26" i="51"/>
  <c r="E26" i="10"/>
  <c r="E25" i="50"/>
  <c r="E25" i="51"/>
  <c r="E25" i="10"/>
  <c r="E24" i="50"/>
  <c r="E24" i="51"/>
  <c r="E24" i="10"/>
  <c r="E23" i="50"/>
  <c r="E23" i="51"/>
  <c r="E23" i="10"/>
  <c r="E22" i="50"/>
  <c r="E22" i="51"/>
  <c r="E22" i="10"/>
  <c r="D26" i="50"/>
  <c r="D26" i="51"/>
  <c r="D26" i="10"/>
  <c r="D25" i="50"/>
  <c r="D25" i="51"/>
  <c r="D25" i="10"/>
  <c r="D24" i="50"/>
  <c r="D24" i="51"/>
  <c r="D24" i="10"/>
  <c r="D23" i="50"/>
  <c r="D23" i="51"/>
  <c r="D23" i="10"/>
  <c r="D22" i="50"/>
  <c r="D22" i="51"/>
  <c r="D22" i="10"/>
  <c r="C26" i="50"/>
  <c r="C26" i="51"/>
  <c r="C26" i="10"/>
  <c r="C25" i="50"/>
  <c r="C25" i="51"/>
  <c r="C25" i="10"/>
  <c r="C24" i="50"/>
  <c r="C24" i="51"/>
  <c r="C24" i="10"/>
  <c r="C23" i="50"/>
  <c r="C23" i="51"/>
  <c r="C23" i="10"/>
  <c r="C22" i="50"/>
  <c r="C22" i="51"/>
  <c r="C22" i="10"/>
  <c r="B26" i="50"/>
  <c r="B26" i="51"/>
  <c r="B26" i="10"/>
  <c r="B25" i="50"/>
  <c r="B25" i="51"/>
  <c r="B25" i="10"/>
  <c r="B24" i="50"/>
  <c r="B24" i="51"/>
  <c r="B24" i="10"/>
  <c r="B23" i="50"/>
  <c r="B23" i="51"/>
  <c r="B23" i="10"/>
  <c r="B22" i="50"/>
  <c r="B22" i="51"/>
  <c r="B22" i="10"/>
  <c r="J22" i="50"/>
  <c r="J22" i="51"/>
  <c r="J22" i="10"/>
  <c r="Q10" i="50"/>
  <c r="Q10" i="51"/>
  <c r="Q10" i="10"/>
  <c r="Q9" i="50"/>
  <c r="Q9" i="51"/>
  <c r="Q9" i="10"/>
  <c r="P10" i="50"/>
  <c r="P10" i="51"/>
  <c r="R10" i="51" s="1"/>
  <c r="P10" i="10"/>
  <c r="P9" i="50"/>
  <c r="P9" i="51"/>
  <c r="R9" i="51" s="1"/>
  <c r="P9" i="10"/>
  <c r="N10" i="10"/>
  <c r="N9" i="10"/>
  <c r="M10" i="50"/>
  <c r="M10" i="51"/>
  <c r="M10" i="10"/>
  <c r="M9" i="50"/>
  <c r="M9" i="51"/>
  <c r="M9" i="10"/>
  <c r="L10" i="50"/>
  <c r="L10" i="51"/>
  <c r="L10" i="10"/>
  <c r="L9" i="50"/>
  <c r="L9" i="51"/>
  <c r="L9" i="10"/>
  <c r="K10" i="50"/>
  <c r="K10" i="51"/>
  <c r="K10" i="10"/>
  <c r="K9" i="50"/>
  <c r="K9" i="51"/>
  <c r="K9" i="10"/>
  <c r="J10" i="50"/>
  <c r="J10" i="51"/>
  <c r="J10" i="10"/>
  <c r="J9" i="50"/>
  <c r="J9" i="51"/>
  <c r="J9" i="10"/>
  <c r="I10" i="50"/>
  <c r="I10" i="51"/>
  <c r="I10" i="10"/>
  <c r="I9" i="50"/>
  <c r="I9" i="51"/>
  <c r="I9" i="10"/>
  <c r="H10" i="50"/>
  <c r="O10" i="50" s="1"/>
  <c r="H10" i="51"/>
  <c r="O10" i="51" s="1"/>
  <c r="H10" i="10"/>
  <c r="H9" i="50"/>
  <c r="O9" i="50" s="1"/>
  <c r="H9" i="51"/>
  <c r="O9" i="51" s="1"/>
  <c r="H9" i="10"/>
  <c r="G10" i="50"/>
  <c r="G10" i="51"/>
  <c r="G10" i="10"/>
  <c r="G9" i="50"/>
  <c r="G9" i="51"/>
  <c r="G9" i="10"/>
  <c r="F10" i="50"/>
  <c r="F10" i="51"/>
  <c r="F10" i="10"/>
  <c r="F9" i="50"/>
  <c r="F9" i="51"/>
  <c r="F9" i="10"/>
  <c r="E10" i="50"/>
  <c r="E10" i="51"/>
  <c r="E10" i="10"/>
  <c r="E9" i="50"/>
  <c r="E9" i="51"/>
  <c r="E9" i="10"/>
  <c r="D10" i="50"/>
  <c r="D10" i="51"/>
  <c r="D10" i="10"/>
  <c r="D9" i="50"/>
  <c r="D9" i="51"/>
  <c r="D9" i="10"/>
  <c r="C10" i="50"/>
  <c r="C10" i="51"/>
  <c r="C10" i="10"/>
  <c r="C9" i="50"/>
  <c r="C9" i="51"/>
  <c r="C9" i="10"/>
  <c r="B10" i="50"/>
  <c r="B10" i="51"/>
  <c r="B10" i="10"/>
  <c r="B9" i="50"/>
  <c r="B9" i="51"/>
  <c r="B9" i="10"/>
  <c r="B19" i="133"/>
  <c r="N22" i="50" s="1"/>
  <c r="N15" i="133"/>
  <c r="N14" i="133"/>
  <c r="K15" i="133"/>
  <c r="J15" i="133"/>
  <c r="I15" i="133"/>
  <c r="H15" i="133"/>
  <c r="G15" i="133"/>
  <c r="K14" i="133"/>
  <c r="J14" i="133"/>
  <c r="I14" i="133"/>
  <c r="H14" i="133"/>
  <c r="G14" i="133"/>
  <c r="B21" i="133" s="1"/>
  <c r="K22" i="10" s="1"/>
  <c r="E42" i="132"/>
  <c r="B25" i="132"/>
  <c r="B18" i="132"/>
  <c r="B17" i="132"/>
  <c r="B23" i="132" s="1"/>
  <c r="E42" i="131"/>
  <c r="B25" i="131"/>
  <c r="B18" i="131"/>
  <c r="B24" i="131" s="1"/>
  <c r="B17" i="131"/>
  <c r="B23" i="131" s="1"/>
  <c r="E42" i="134"/>
  <c r="B18" i="134"/>
  <c r="B17" i="134"/>
  <c r="H23" i="10" s="1"/>
  <c r="E42" i="135"/>
  <c r="B18" i="135"/>
  <c r="B17" i="135"/>
  <c r="H24" i="50" s="1"/>
  <c r="E42" i="136"/>
  <c r="B18" i="136"/>
  <c r="B17" i="136"/>
  <c r="H25" i="10" s="1"/>
  <c r="E42" i="137"/>
  <c r="B18" i="137"/>
  <c r="B17" i="137"/>
  <c r="E42" i="133"/>
  <c r="B18" i="133"/>
  <c r="B17" i="133"/>
  <c r="G11" i="11"/>
  <c r="B17" i="11" s="1"/>
  <c r="G13" i="7"/>
  <c r="X57" i="51" l="1"/>
  <c r="T9" i="51"/>
  <c r="H25" i="51"/>
  <c r="H25" i="50"/>
  <c r="BR104" i="10"/>
  <c r="BK104" i="10"/>
  <c r="BR57" i="10"/>
  <c r="BK57" i="10"/>
  <c r="AE104" i="50"/>
  <c r="AL104" i="50"/>
  <c r="AL57" i="50"/>
  <c r="AE57" i="50"/>
  <c r="H24" i="51"/>
  <c r="O24" i="51" s="1"/>
  <c r="H24" i="10"/>
  <c r="K22" i="51"/>
  <c r="K22" i="50"/>
  <c r="AL22" i="50"/>
  <c r="AE22" i="50"/>
  <c r="AL26" i="50"/>
  <c r="AE26" i="50"/>
  <c r="BR10" i="10"/>
  <c r="BK10" i="10"/>
  <c r="BR24" i="10"/>
  <c r="BK24" i="10"/>
  <c r="AL25" i="50"/>
  <c r="AE25" i="50"/>
  <c r="BR9" i="10"/>
  <c r="BK9" i="10"/>
  <c r="AL10" i="50"/>
  <c r="AE10" i="50"/>
  <c r="BR23" i="10"/>
  <c r="BK23" i="10"/>
  <c r="AL24" i="50"/>
  <c r="AE24" i="50"/>
  <c r="BR25" i="10"/>
  <c r="BK25" i="10"/>
  <c r="AL9" i="50"/>
  <c r="AE9" i="50"/>
  <c r="BK22" i="10"/>
  <c r="BR22" i="10"/>
  <c r="AL23" i="50"/>
  <c r="AE23" i="50"/>
  <c r="BK26" i="10"/>
  <c r="BR26" i="10"/>
  <c r="T104" i="51"/>
  <c r="O24" i="10"/>
  <c r="O22" i="50"/>
  <c r="V9" i="51"/>
  <c r="W10" i="51"/>
  <c r="O24" i="50"/>
  <c r="Y104" i="51"/>
  <c r="BT57" i="50"/>
  <c r="BT104" i="50"/>
  <c r="U57" i="51"/>
  <c r="U9" i="50"/>
  <c r="Y9" i="50"/>
  <c r="S9" i="50"/>
  <c r="W9" i="50"/>
  <c r="T9" i="50"/>
  <c r="X9" i="50"/>
  <c r="V9" i="50"/>
  <c r="R9" i="50"/>
  <c r="R9" i="10"/>
  <c r="V9" i="10"/>
  <c r="AA9" i="10"/>
  <c r="AE9" i="10"/>
  <c r="AJ9" i="10"/>
  <c r="AN9" i="10"/>
  <c r="AS9" i="10"/>
  <c r="AW9" i="10"/>
  <c r="BB9" i="10"/>
  <c r="BG9" i="10"/>
  <c r="BP9" i="10"/>
  <c r="S9" i="10"/>
  <c r="W9" i="10"/>
  <c r="AB9" i="10"/>
  <c r="AF9" i="10"/>
  <c r="AK9" i="10"/>
  <c r="AO9" i="10"/>
  <c r="AT9" i="10"/>
  <c r="AY9" i="10"/>
  <c r="BC9" i="10"/>
  <c r="BH9" i="10"/>
  <c r="BL9" i="10"/>
  <c r="BQ9" i="10"/>
  <c r="T9" i="10"/>
  <c r="X9" i="10"/>
  <c r="AC9" i="10"/>
  <c r="AG9" i="10"/>
  <c r="AL9" i="10"/>
  <c r="AQ9" i="10"/>
  <c r="AU9" i="10"/>
  <c r="AZ9" i="10"/>
  <c r="BD9" i="10"/>
  <c r="BI9" i="10"/>
  <c r="BN9" i="10"/>
  <c r="U9" i="10"/>
  <c r="AM9" i="10"/>
  <c r="BE9" i="10"/>
  <c r="Y9" i="10"/>
  <c r="AR9" i="10"/>
  <c r="BJ9" i="10"/>
  <c r="AD9" i="10"/>
  <c r="AV9" i="10"/>
  <c r="BO9" i="10"/>
  <c r="AI9" i="10"/>
  <c r="BA9" i="10"/>
  <c r="BS9" i="10"/>
  <c r="AD10" i="50"/>
  <c r="AI10" i="50"/>
  <c r="AM10" i="50"/>
  <c r="AR10" i="50"/>
  <c r="AW10" i="50"/>
  <c r="BA10" i="50"/>
  <c r="BF10" i="50"/>
  <c r="BJ10" i="50"/>
  <c r="BO10" i="50"/>
  <c r="BS10" i="50"/>
  <c r="AB10" i="50"/>
  <c r="AF10" i="50"/>
  <c r="AK10" i="50"/>
  <c r="AP10" i="50"/>
  <c r="AT10" i="50"/>
  <c r="AY10" i="50"/>
  <c r="BC10" i="50"/>
  <c r="BH10" i="50"/>
  <c r="BM10" i="50"/>
  <c r="BQ10" i="50"/>
  <c r="AC10" i="50"/>
  <c r="AU10" i="50"/>
  <c r="BE10" i="50"/>
  <c r="BN10" i="50"/>
  <c r="AH10" i="50"/>
  <c r="AQ10" i="50"/>
  <c r="AZ10" i="50"/>
  <c r="BI10" i="50"/>
  <c r="BR10" i="50"/>
  <c r="AA10" i="50"/>
  <c r="AS10" i="50"/>
  <c r="BK10" i="50"/>
  <c r="AJ10" i="50"/>
  <c r="BB10" i="50"/>
  <c r="BG10" i="50"/>
  <c r="AO10" i="50"/>
  <c r="AX10" i="50"/>
  <c r="BP10" i="50"/>
  <c r="AA22" i="50"/>
  <c r="AJ22" i="50"/>
  <c r="AO22" i="50"/>
  <c r="AS22" i="50"/>
  <c r="AX22" i="50"/>
  <c r="BB22" i="50"/>
  <c r="BG22" i="50"/>
  <c r="BK22" i="50"/>
  <c r="BP22" i="50"/>
  <c r="AC22" i="50"/>
  <c r="AH22" i="50"/>
  <c r="AQ22" i="50"/>
  <c r="AU22" i="50"/>
  <c r="AZ22" i="50"/>
  <c r="BE22" i="50"/>
  <c r="BI22" i="50"/>
  <c r="BN22" i="50"/>
  <c r="BR22" i="50"/>
  <c r="AI22" i="50"/>
  <c r="AR22" i="50"/>
  <c r="BA22" i="50"/>
  <c r="BJ22" i="50"/>
  <c r="BS22" i="50"/>
  <c r="AD22" i="50"/>
  <c r="AM22" i="50"/>
  <c r="AW22" i="50"/>
  <c r="BF22" i="50"/>
  <c r="BO22" i="50"/>
  <c r="AF22" i="50"/>
  <c r="AY22" i="50"/>
  <c r="BQ22" i="50"/>
  <c r="AP22" i="50"/>
  <c r="BH22" i="50"/>
  <c r="AT22" i="50"/>
  <c r="AB22" i="50"/>
  <c r="BM22" i="50"/>
  <c r="BC22" i="50"/>
  <c r="AK22" i="50"/>
  <c r="V23" i="50"/>
  <c r="T23" i="50"/>
  <c r="X23" i="50"/>
  <c r="Y23" i="50"/>
  <c r="U23" i="50"/>
  <c r="W23" i="50"/>
  <c r="S23" i="50"/>
  <c r="T25" i="10"/>
  <c r="X25" i="10"/>
  <c r="AC25" i="10"/>
  <c r="AG25" i="10"/>
  <c r="AL25" i="10"/>
  <c r="AQ25" i="10"/>
  <c r="AU25" i="10"/>
  <c r="AZ25" i="10"/>
  <c r="BD25" i="10"/>
  <c r="BI25" i="10"/>
  <c r="BN25" i="10"/>
  <c r="U25" i="10"/>
  <c r="Y25" i="10"/>
  <c r="AD25" i="10"/>
  <c r="AI25" i="10"/>
  <c r="AM25" i="10"/>
  <c r="AR25" i="10"/>
  <c r="AV25" i="10"/>
  <c r="BA25" i="10"/>
  <c r="BE25" i="10"/>
  <c r="BJ25" i="10"/>
  <c r="BO25" i="10"/>
  <c r="BS25" i="10"/>
  <c r="V25" i="10"/>
  <c r="AA25" i="10"/>
  <c r="AE25" i="10"/>
  <c r="AJ25" i="10"/>
  <c r="AN25" i="10"/>
  <c r="AS25" i="10"/>
  <c r="AW25" i="10"/>
  <c r="BB25" i="10"/>
  <c r="BG25" i="10"/>
  <c r="BP25" i="10"/>
  <c r="S25" i="10"/>
  <c r="AK25" i="10"/>
  <c r="BC25" i="10"/>
  <c r="W25" i="10"/>
  <c r="AO25" i="10"/>
  <c r="BH25" i="10"/>
  <c r="AB25" i="10"/>
  <c r="AT25" i="10"/>
  <c r="BL25" i="10"/>
  <c r="AF25" i="10"/>
  <c r="AY25" i="10"/>
  <c r="BQ25" i="10"/>
  <c r="AC26" i="50"/>
  <c r="AH26" i="50"/>
  <c r="AQ26" i="50"/>
  <c r="AU26" i="50"/>
  <c r="AZ26" i="50"/>
  <c r="BE26" i="50"/>
  <c r="BI26" i="50"/>
  <c r="BN26" i="50"/>
  <c r="BR26" i="50"/>
  <c r="AA26" i="50"/>
  <c r="AJ26" i="50"/>
  <c r="AO26" i="50"/>
  <c r="AS26" i="50"/>
  <c r="AX26" i="50"/>
  <c r="BB26" i="50"/>
  <c r="BG26" i="50"/>
  <c r="BK26" i="50"/>
  <c r="BP26" i="50"/>
  <c r="AF26" i="50"/>
  <c r="AP26" i="50"/>
  <c r="AY26" i="50"/>
  <c r="BH26" i="50"/>
  <c r="BQ26" i="50"/>
  <c r="AB26" i="50"/>
  <c r="AK26" i="50"/>
  <c r="AT26" i="50"/>
  <c r="BC26" i="50"/>
  <c r="BM26" i="50"/>
  <c r="AM26" i="50"/>
  <c r="BF26" i="50"/>
  <c r="AD26" i="50"/>
  <c r="AW26" i="50"/>
  <c r="BO26" i="50"/>
  <c r="BA26" i="50"/>
  <c r="AR26" i="50"/>
  <c r="BS26" i="50"/>
  <c r="BJ26" i="50"/>
  <c r="AI26" i="50"/>
  <c r="BT25" i="50"/>
  <c r="S104" i="50"/>
  <c r="W104" i="50"/>
  <c r="U104" i="50"/>
  <c r="Y104" i="50"/>
  <c r="X104" i="50"/>
  <c r="T104" i="50"/>
  <c r="V104" i="50"/>
  <c r="U57" i="50"/>
  <c r="Y57" i="50"/>
  <c r="S57" i="50"/>
  <c r="W57" i="50"/>
  <c r="X57" i="50"/>
  <c r="T57" i="50"/>
  <c r="AD9" i="50"/>
  <c r="AI9" i="50"/>
  <c r="AM9" i="50"/>
  <c r="AR9" i="50"/>
  <c r="AW9" i="50"/>
  <c r="BA9" i="50"/>
  <c r="BF9" i="50"/>
  <c r="BJ9" i="50"/>
  <c r="BO9" i="50"/>
  <c r="BS9" i="50"/>
  <c r="AB9" i="50"/>
  <c r="AF9" i="50"/>
  <c r="AK9" i="50"/>
  <c r="AP9" i="50"/>
  <c r="AT9" i="50"/>
  <c r="AY9" i="50"/>
  <c r="BC9" i="50"/>
  <c r="BH9" i="50"/>
  <c r="BM9" i="50"/>
  <c r="BQ9" i="50"/>
  <c r="AC9" i="50"/>
  <c r="AU9" i="50"/>
  <c r="BE9" i="50"/>
  <c r="BN9" i="50"/>
  <c r="AH9" i="50"/>
  <c r="AQ9" i="50"/>
  <c r="AZ9" i="50"/>
  <c r="BI9" i="50"/>
  <c r="BR9" i="50"/>
  <c r="AA9" i="50"/>
  <c r="AS9" i="50"/>
  <c r="BK9" i="50"/>
  <c r="AJ9" i="50"/>
  <c r="BB9" i="50"/>
  <c r="AO9" i="50"/>
  <c r="BG9" i="50"/>
  <c r="BP9" i="50"/>
  <c r="AX9" i="50"/>
  <c r="R10" i="50"/>
  <c r="U10" i="50"/>
  <c r="Y10" i="50"/>
  <c r="S10" i="50"/>
  <c r="W10" i="50"/>
  <c r="T10" i="50"/>
  <c r="X10" i="50"/>
  <c r="V10" i="50"/>
  <c r="T22" i="51"/>
  <c r="V22" i="50"/>
  <c r="T22" i="50"/>
  <c r="X22" i="50"/>
  <c r="Y22" i="50"/>
  <c r="U22" i="50"/>
  <c r="W22" i="50"/>
  <c r="S22" i="50"/>
  <c r="S24" i="10"/>
  <c r="W24" i="10"/>
  <c r="AB24" i="10"/>
  <c r="AF24" i="10"/>
  <c r="AK24" i="10"/>
  <c r="AO24" i="10"/>
  <c r="AT24" i="10"/>
  <c r="AY24" i="10"/>
  <c r="BC24" i="10"/>
  <c r="BH24" i="10"/>
  <c r="BL24" i="10"/>
  <c r="BQ24" i="10"/>
  <c r="T24" i="10"/>
  <c r="X24" i="10"/>
  <c r="AC24" i="10"/>
  <c r="AG24" i="10"/>
  <c r="AL24" i="10"/>
  <c r="AQ24" i="10"/>
  <c r="AU24" i="10"/>
  <c r="AZ24" i="10"/>
  <c r="BD24" i="10"/>
  <c r="BI24" i="10"/>
  <c r="BN24" i="10"/>
  <c r="U24" i="10"/>
  <c r="Y24" i="10"/>
  <c r="AD24" i="10"/>
  <c r="AI24" i="10"/>
  <c r="AM24" i="10"/>
  <c r="AR24" i="10"/>
  <c r="AV24" i="10"/>
  <c r="BA24" i="10"/>
  <c r="BE24" i="10"/>
  <c r="BJ24" i="10"/>
  <c r="BO24" i="10"/>
  <c r="BS24" i="10"/>
  <c r="AJ24" i="10"/>
  <c r="BB24" i="10"/>
  <c r="V24" i="10"/>
  <c r="AN24" i="10"/>
  <c r="BG24" i="10"/>
  <c r="AA24" i="10"/>
  <c r="AS24" i="10"/>
  <c r="BP24" i="10"/>
  <c r="AW24" i="10"/>
  <c r="AE24" i="10"/>
  <c r="AC25" i="50"/>
  <c r="AH25" i="50"/>
  <c r="AQ25" i="50"/>
  <c r="AU25" i="50"/>
  <c r="AZ25" i="50"/>
  <c r="BE25" i="50"/>
  <c r="BI25" i="50"/>
  <c r="BN25" i="50"/>
  <c r="BR25" i="50"/>
  <c r="AA25" i="50"/>
  <c r="AJ25" i="50"/>
  <c r="AO25" i="50"/>
  <c r="AS25" i="50"/>
  <c r="AX25" i="50"/>
  <c r="BB25" i="50"/>
  <c r="BG25" i="50"/>
  <c r="BK25" i="50"/>
  <c r="BP25" i="50"/>
  <c r="AF25" i="50"/>
  <c r="AP25" i="50"/>
  <c r="AY25" i="50"/>
  <c r="BH25" i="50"/>
  <c r="BQ25" i="50"/>
  <c r="AB25" i="50"/>
  <c r="AK25" i="50"/>
  <c r="AT25" i="50"/>
  <c r="BC25" i="50"/>
  <c r="BM25" i="50"/>
  <c r="AM25" i="50"/>
  <c r="BF25" i="50"/>
  <c r="AD25" i="50"/>
  <c r="AW25" i="50"/>
  <c r="BO25" i="50"/>
  <c r="AI25" i="50"/>
  <c r="BS25" i="50"/>
  <c r="BJ25" i="50"/>
  <c r="BA25" i="50"/>
  <c r="AR25" i="50"/>
  <c r="T26" i="50"/>
  <c r="X26" i="50"/>
  <c r="V26" i="50"/>
  <c r="W26" i="50"/>
  <c r="S26" i="50"/>
  <c r="U26" i="50"/>
  <c r="Y26" i="50"/>
  <c r="BT24" i="50"/>
  <c r="S57" i="51"/>
  <c r="BT10" i="50"/>
  <c r="V23" i="10"/>
  <c r="AA23" i="10"/>
  <c r="AE23" i="10"/>
  <c r="AJ23" i="10"/>
  <c r="AN23" i="10"/>
  <c r="AS23" i="10"/>
  <c r="AW23" i="10"/>
  <c r="BB23" i="10"/>
  <c r="BG23" i="10"/>
  <c r="BP23" i="10"/>
  <c r="S23" i="10"/>
  <c r="W23" i="10"/>
  <c r="AB23" i="10"/>
  <c r="AF23" i="10"/>
  <c r="AK23" i="10"/>
  <c r="AO23" i="10"/>
  <c r="AT23" i="10"/>
  <c r="AY23" i="10"/>
  <c r="BC23" i="10"/>
  <c r="BH23" i="10"/>
  <c r="BL23" i="10"/>
  <c r="BQ23" i="10"/>
  <c r="T23" i="10"/>
  <c r="X23" i="10"/>
  <c r="AC23" i="10"/>
  <c r="AG23" i="10"/>
  <c r="AL23" i="10"/>
  <c r="AQ23" i="10"/>
  <c r="AU23" i="10"/>
  <c r="AZ23" i="10"/>
  <c r="BD23" i="10"/>
  <c r="BI23" i="10"/>
  <c r="BN23" i="10"/>
  <c r="AI23" i="10"/>
  <c r="BA23" i="10"/>
  <c r="BS23" i="10"/>
  <c r="U23" i="10"/>
  <c r="AM23" i="10"/>
  <c r="BE23" i="10"/>
  <c r="Y23" i="10"/>
  <c r="AR23" i="10"/>
  <c r="BJ23" i="10"/>
  <c r="AV23" i="10"/>
  <c r="BO23" i="10"/>
  <c r="AD23" i="10"/>
  <c r="AC24" i="50"/>
  <c r="AH24" i="50"/>
  <c r="AQ24" i="50"/>
  <c r="AU24" i="50"/>
  <c r="AZ24" i="50"/>
  <c r="BE24" i="50"/>
  <c r="BI24" i="50"/>
  <c r="BN24" i="50"/>
  <c r="BR24" i="50"/>
  <c r="AA24" i="50"/>
  <c r="AJ24" i="50"/>
  <c r="AO24" i="50"/>
  <c r="AS24" i="50"/>
  <c r="AX24" i="50"/>
  <c r="BB24" i="50"/>
  <c r="BG24" i="50"/>
  <c r="BK24" i="50"/>
  <c r="BP24" i="50"/>
  <c r="AF24" i="50"/>
  <c r="AP24" i="50"/>
  <c r="AY24" i="50"/>
  <c r="BH24" i="50"/>
  <c r="BQ24" i="50"/>
  <c r="AB24" i="50"/>
  <c r="AK24" i="50"/>
  <c r="AT24" i="50"/>
  <c r="BC24" i="50"/>
  <c r="BM24" i="50"/>
  <c r="AM24" i="50"/>
  <c r="BF24" i="50"/>
  <c r="AD24" i="50"/>
  <c r="AW24" i="50"/>
  <c r="BO24" i="50"/>
  <c r="BA24" i="50"/>
  <c r="AR24" i="50"/>
  <c r="AI24" i="50"/>
  <c r="BJ24" i="50"/>
  <c r="BS24" i="50"/>
  <c r="T25" i="50"/>
  <c r="X25" i="50"/>
  <c r="V25" i="50"/>
  <c r="W25" i="50"/>
  <c r="S25" i="50"/>
  <c r="U25" i="50"/>
  <c r="Y25" i="50"/>
  <c r="BT23" i="50"/>
  <c r="V104" i="10"/>
  <c r="AA104" i="10"/>
  <c r="AE104" i="10"/>
  <c r="AJ104" i="10"/>
  <c r="AN104" i="10"/>
  <c r="AS104" i="10"/>
  <c r="AW104" i="10"/>
  <c r="BB104" i="10"/>
  <c r="BG104" i="10"/>
  <c r="BP104" i="10"/>
  <c r="AD104" i="10"/>
  <c r="AM104" i="10"/>
  <c r="BE104" i="10"/>
  <c r="BS104" i="10"/>
  <c r="S104" i="10"/>
  <c r="W104" i="10"/>
  <c r="AB104" i="10"/>
  <c r="AF104" i="10"/>
  <c r="AK104" i="10"/>
  <c r="AO104" i="10"/>
  <c r="AT104" i="10"/>
  <c r="AY104" i="10"/>
  <c r="BC104" i="10"/>
  <c r="BH104" i="10"/>
  <c r="BL104" i="10"/>
  <c r="BQ104" i="10"/>
  <c r="U104" i="10"/>
  <c r="AI104" i="10"/>
  <c r="AV104" i="10"/>
  <c r="BJ104" i="10"/>
  <c r="T104" i="10"/>
  <c r="X104" i="10"/>
  <c r="AC104" i="10"/>
  <c r="AG104" i="10"/>
  <c r="AL104" i="10"/>
  <c r="AQ104" i="10"/>
  <c r="AU104" i="10"/>
  <c r="AZ104" i="10"/>
  <c r="BD104" i="10"/>
  <c r="BI104" i="10"/>
  <c r="BN104" i="10"/>
  <c r="Y104" i="10"/>
  <c r="AR104" i="10"/>
  <c r="BA104" i="10"/>
  <c r="BO104" i="10"/>
  <c r="AA57" i="10"/>
  <c r="AE57" i="10"/>
  <c r="AJ57" i="10"/>
  <c r="AN57" i="10"/>
  <c r="AS57" i="10"/>
  <c r="AW57" i="10"/>
  <c r="BB57" i="10"/>
  <c r="BG57" i="10"/>
  <c r="S57" i="10"/>
  <c r="W57" i="10"/>
  <c r="AB57" i="10"/>
  <c r="AF57" i="10"/>
  <c r="AK57" i="10"/>
  <c r="AO57" i="10"/>
  <c r="AY57" i="10"/>
  <c r="BC57" i="10"/>
  <c r="BH57" i="10"/>
  <c r="BL57" i="10"/>
  <c r="BQ57" i="10"/>
  <c r="T57" i="10"/>
  <c r="X57" i="10"/>
  <c r="AC57" i="10"/>
  <c r="AG57" i="10"/>
  <c r="AQ57" i="10"/>
  <c r="AU57" i="10"/>
  <c r="AZ57" i="10"/>
  <c r="BD57" i="10"/>
  <c r="BN57" i="10"/>
  <c r="AI57" i="10"/>
  <c r="BA57" i="10"/>
  <c r="BS57" i="10"/>
  <c r="U57" i="10"/>
  <c r="AM57" i="10"/>
  <c r="BE57" i="10"/>
  <c r="BO57" i="10"/>
  <c r="Y57" i="10"/>
  <c r="AR57" i="10"/>
  <c r="BJ57" i="10"/>
  <c r="AV57" i="10"/>
  <c r="V10" i="51"/>
  <c r="S10" i="10"/>
  <c r="W10" i="10"/>
  <c r="AB10" i="10"/>
  <c r="AF10" i="10"/>
  <c r="AK10" i="10"/>
  <c r="AO10" i="10"/>
  <c r="AT10" i="10"/>
  <c r="AY10" i="10"/>
  <c r="BC10" i="10"/>
  <c r="BH10" i="10"/>
  <c r="BL10" i="10"/>
  <c r="BQ10" i="10"/>
  <c r="T10" i="10"/>
  <c r="X10" i="10"/>
  <c r="AC10" i="10"/>
  <c r="AG10" i="10"/>
  <c r="AL10" i="10"/>
  <c r="AQ10" i="10"/>
  <c r="AU10" i="10"/>
  <c r="AZ10" i="10"/>
  <c r="BD10" i="10"/>
  <c r="BI10" i="10"/>
  <c r="BN10" i="10"/>
  <c r="U10" i="10"/>
  <c r="Y10" i="10"/>
  <c r="AD10" i="10"/>
  <c r="AI10" i="10"/>
  <c r="AM10" i="10"/>
  <c r="AR10" i="10"/>
  <c r="AV10" i="10"/>
  <c r="BA10" i="10"/>
  <c r="BE10" i="10"/>
  <c r="BJ10" i="10"/>
  <c r="BO10" i="10"/>
  <c r="BS10" i="10"/>
  <c r="V10" i="10"/>
  <c r="AN10" i="10"/>
  <c r="BG10" i="10"/>
  <c r="AA10" i="10"/>
  <c r="AS10" i="10"/>
  <c r="AE10" i="10"/>
  <c r="AW10" i="10"/>
  <c r="BP10" i="10"/>
  <c r="BB10" i="10"/>
  <c r="AJ10" i="10"/>
  <c r="BT9" i="50"/>
  <c r="U22" i="10"/>
  <c r="Y22" i="10"/>
  <c r="AD22" i="10"/>
  <c r="AI22" i="10"/>
  <c r="AM22" i="10"/>
  <c r="AR22" i="10"/>
  <c r="AV22" i="10"/>
  <c r="BA22" i="10"/>
  <c r="BE22" i="10"/>
  <c r="BJ22" i="10"/>
  <c r="BO22" i="10"/>
  <c r="BS22" i="10"/>
  <c r="V22" i="10"/>
  <c r="AA22" i="10"/>
  <c r="AE22" i="10"/>
  <c r="AJ22" i="10"/>
  <c r="AN22" i="10"/>
  <c r="AS22" i="10"/>
  <c r="AW22" i="10"/>
  <c r="BB22" i="10"/>
  <c r="BG22" i="10"/>
  <c r="BP22" i="10"/>
  <c r="W22" i="10"/>
  <c r="AB22" i="10"/>
  <c r="AF22" i="10"/>
  <c r="AK22" i="10"/>
  <c r="AO22" i="10"/>
  <c r="AT22" i="10"/>
  <c r="AY22" i="10"/>
  <c r="BC22" i="10"/>
  <c r="BH22" i="10"/>
  <c r="BL22" i="10"/>
  <c r="BQ22" i="10"/>
  <c r="AG22" i="10"/>
  <c r="AZ22" i="10"/>
  <c r="T22" i="10"/>
  <c r="AL22" i="10"/>
  <c r="BD22" i="10"/>
  <c r="X22" i="10"/>
  <c r="AQ22" i="10"/>
  <c r="BI22" i="10"/>
  <c r="AC22" i="10"/>
  <c r="AU22" i="10"/>
  <c r="BN22" i="10"/>
  <c r="V23" i="51"/>
  <c r="AA23" i="50"/>
  <c r="AJ23" i="50"/>
  <c r="AO23" i="50"/>
  <c r="AS23" i="50"/>
  <c r="AC23" i="50"/>
  <c r="AH23" i="50"/>
  <c r="AQ23" i="50"/>
  <c r="AU23" i="50"/>
  <c r="AZ23" i="50"/>
  <c r="AI23" i="50"/>
  <c r="AR23" i="50"/>
  <c r="AY23" i="50"/>
  <c r="BE23" i="50"/>
  <c r="BI23" i="50"/>
  <c r="BN23" i="50"/>
  <c r="BR23" i="50"/>
  <c r="AD23" i="50"/>
  <c r="AM23" i="50"/>
  <c r="AW23" i="50"/>
  <c r="BB23" i="50"/>
  <c r="BG23" i="50"/>
  <c r="BK23" i="50"/>
  <c r="BP23" i="50"/>
  <c r="AF23" i="50"/>
  <c r="AX23" i="50"/>
  <c r="BH23" i="50"/>
  <c r="BQ23" i="50"/>
  <c r="AP23" i="50"/>
  <c r="BC23" i="50"/>
  <c r="BM23" i="50"/>
  <c r="AB23" i="50"/>
  <c r="BF23" i="50"/>
  <c r="AT23" i="50"/>
  <c r="BO23" i="50"/>
  <c r="BS23" i="50"/>
  <c r="BJ23" i="50"/>
  <c r="BA23" i="50"/>
  <c r="AK23" i="50"/>
  <c r="T24" i="50"/>
  <c r="X24" i="50"/>
  <c r="V24" i="50"/>
  <c r="W24" i="50"/>
  <c r="S24" i="50"/>
  <c r="U24" i="50"/>
  <c r="Y24" i="50"/>
  <c r="U26" i="10"/>
  <c r="Y26" i="10"/>
  <c r="AD26" i="10"/>
  <c r="AI26" i="10"/>
  <c r="AM26" i="10"/>
  <c r="AR26" i="10"/>
  <c r="AV26" i="10"/>
  <c r="BA26" i="10"/>
  <c r="BE26" i="10"/>
  <c r="BJ26" i="10"/>
  <c r="BO26" i="10"/>
  <c r="BS26" i="10"/>
  <c r="V26" i="10"/>
  <c r="AA26" i="10"/>
  <c r="AE26" i="10"/>
  <c r="AJ26" i="10"/>
  <c r="AN26" i="10"/>
  <c r="AS26" i="10"/>
  <c r="AW26" i="10"/>
  <c r="BB26" i="10"/>
  <c r="BG26" i="10"/>
  <c r="BP26" i="10"/>
  <c r="S26" i="10"/>
  <c r="W26" i="10"/>
  <c r="AB26" i="10"/>
  <c r="AF26" i="10"/>
  <c r="AK26" i="10"/>
  <c r="AO26" i="10"/>
  <c r="AT26" i="10"/>
  <c r="AY26" i="10"/>
  <c r="BC26" i="10"/>
  <c r="BH26" i="10"/>
  <c r="BL26" i="10"/>
  <c r="BQ26" i="10"/>
  <c r="T26" i="10"/>
  <c r="AL26" i="10"/>
  <c r="BD26" i="10"/>
  <c r="X26" i="10"/>
  <c r="AQ26" i="10"/>
  <c r="BI26" i="10"/>
  <c r="AC26" i="10"/>
  <c r="AU26" i="10"/>
  <c r="BN26" i="10"/>
  <c r="AG26" i="10"/>
  <c r="AZ26" i="10"/>
  <c r="BT22" i="50"/>
  <c r="BT26" i="50"/>
  <c r="AB104" i="50"/>
  <c r="AF104" i="50"/>
  <c r="AK104" i="50"/>
  <c r="AP104" i="50"/>
  <c r="AT104" i="50"/>
  <c r="AY104" i="50"/>
  <c r="BC104" i="50"/>
  <c r="BH104" i="50"/>
  <c r="BM104" i="50"/>
  <c r="BQ104" i="50"/>
  <c r="AD104" i="50"/>
  <c r="AI104" i="50"/>
  <c r="AM104" i="50"/>
  <c r="AR104" i="50"/>
  <c r="AW104" i="50"/>
  <c r="BA104" i="50"/>
  <c r="BF104" i="50"/>
  <c r="BJ104" i="50"/>
  <c r="BS104" i="50"/>
  <c r="AH104" i="50"/>
  <c r="AQ104" i="50"/>
  <c r="AZ104" i="50"/>
  <c r="BI104" i="50"/>
  <c r="BR104" i="50"/>
  <c r="AC104" i="50"/>
  <c r="AU104" i="50"/>
  <c r="BE104" i="50"/>
  <c r="BN104" i="50"/>
  <c r="AA104" i="50"/>
  <c r="AS104" i="50"/>
  <c r="BK104" i="50"/>
  <c r="AX104" i="50"/>
  <c r="BP104" i="50"/>
  <c r="AJ104" i="50"/>
  <c r="BB104" i="50"/>
  <c r="AO104" i="50"/>
  <c r="AD57" i="50"/>
  <c r="AI57" i="50"/>
  <c r="AM57" i="50"/>
  <c r="AR57" i="50"/>
  <c r="AW57" i="50"/>
  <c r="BA57" i="50"/>
  <c r="BF57" i="50"/>
  <c r="BK57" i="50"/>
  <c r="BP57" i="50"/>
  <c r="AB57" i="50"/>
  <c r="AF57" i="50"/>
  <c r="AK57" i="50"/>
  <c r="AP57" i="50"/>
  <c r="AT57" i="50"/>
  <c r="AY57" i="50"/>
  <c r="BC57" i="50"/>
  <c r="BI57" i="50"/>
  <c r="BN57" i="50"/>
  <c r="BR57" i="50"/>
  <c r="AH57" i="50"/>
  <c r="AQ57" i="50"/>
  <c r="BJ57" i="50"/>
  <c r="BS57" i="50"/>
  <c r="AC57" i="50"/>
  <c r="AO57" i="50"/>
  <c r="BB57" i="50"/>
  <c r="BO57" i="50"/>
  <c r="AA57" i="50"/>
  <c r="AX57" i="50"/>
  <c r="BM57" i="50"/>
  <c r="AU57" i="50"/>
  <c r="BE57" i="50"/>
  <c r="BG57" i="50"/>
  <c r="AS57" i="50"/>
  <c r="BQ57" i="50"/>
  <c r="H57" i="10"/>
  <c r="BI57" i="10" s="1"/>
  <c r="H57" i="50"/>
  <c r="J14" i="138"/>
  <c r="K14" i="138" s="1"/>
  <c r="B19" i="138" s="1"/>
  <c r="Y57" i="51"/>
  <c r="T57" i="51"/>
  <c r="W57" i="51"/>
  <c r="V57" i="51"/>
  <c r="R57" i="51"/>
  <c r="O23" i="10"/>
  <c r="O25" i="50"/>
  <c r="R10" i="10"/>
  <c r="U9" i="51"/>
  <c r="Y9" i="51"/>
  <c r="O23" i="50"/>
  <c r="R26" i="50"/>
  <c r="H21" i="138"/>
  <c r="J23" i="138" s="1"/>
  <c r="AC22" i="138"/>
  <c r="AE22" i="138"/>
  <c r="B18" i="138"/>
  <c r="V104" i="51"/>
  <c r="X104" i="51"/>
  <c r="S104" i="51"/>
  <c r="W104" i="51"/>
  <c r="Y25" i="51"/>
  <c r="O26" i="50"/>
  <c r="U10" i="51"/>
  <c r="T10" i="51"/>
  <c r="U25" i="51"/>
  <c r="Y10" i="51"/>
  <c r="S10" i="51"/>
  <c r="O25" i="10"/>
  <c r="O10" i="10"/>
  <c r="O9" i="10"/>
  <c r="R26" i="10"/>
  <c r="R24" i="10"/>
  <c r="V24" i="51"/>
  <c r="R23" i="10"/>
  <c r="R23" i="51"/>
  <c r="Y22" i="51"/>
  <c r="U22" i="51"/>
  <c r="X22" i="51"/>
  <c r="R22" i="51"/>
  <c r="O23" i="51"/>
  <c r="O26" i="10"/>
  <c r="X26" i="51"/>
  <c r="T26" i="51"/>
  <c r="Y26" i="51"/>
  <c r="T25" i="51"/>
  <c r="X23" i="51"/>
  <c r="R25" i="10"/>
  <c r="U24" i="51"/>
  <c r="R24" i="50"/>
  <c r="U26" i="51"/>
  <c r="S25" i="51"/>
  <c r="W25" i="51"/>
  <c r="V25" i="51"/>
  <c r="R25" i="51"/>
  <c r="X25" i="51"/>
  <c r="S24" i="51"/>
  <c r="W24" i="51"/>
  <c r="R24" i="51"/>
  <c r="X24" i="51"/>
  <c r="T24" i="51"/>
  <c r="Y24" i="51"/>
  <c r="T23" i="51"/>
  <c r="Y23" i="51"/>
  <c r="U23" i="51"/>
  <c r="V26" i="51"/>
  <c r="O26" i="51"/>
  <c r="S23" i="51"/>
  <c r="W23" i="51"/>
  <c r="V22" i="51"/>
  <c r="O22" i="51"/>
  <c r="R22" i="50"/>
  <c r="S26" i="51"/>
  <c r="W26" i="51"/>
  <c r="O25" i="51"/>
  <c r="S22" i="51"/>
  <c r="W22" i="51"/>
  <c r="R25" i="50"/>
  <c r="R23" i="50"/>
  <c r="S9" i="51"/>
  <c r="W9" i="51"/>
  <c r="X10" i="51"/>
  <c r="X9" i="51"/>
  <c r="B25" i="133"/>
  <c r="N22" i="10" s="1"/>
  <c r="O22" i="10" s="1"/>
  <c r="B24" i="132"/>
  <c r="B24" i="133"/>
  <c r="B23" i="133"/>
  <c r="B24" i="134"/>
  <c r="B23" i="134"/>
  <c r="B24" i="137"/>
  <c r="B23" i="137"/>
  <c r="B24" i="136"/>
  <c r="B23" i="136"/>
  <c r="B24" i="135"/>
  <c r="B23" i="135"/>
  <c r="M25" i="10" l="1"/>
  <c r="M25" i="50"/>
  <c r="M25" i="51"/>
  <c r="AD57" i="10"/>
  <c r="M24" i="50"/>
  <c r="M24" i="51"/>
  <c r="M24" i="10"/>
  <c r="M23" i="50"/>
  <c r="M23" i="51"/>
  <c r="M23" i="10"/>
  <c r="S22" i="10"/>
  <c r="R22" i="10"/>
  <c r="M22" i="50"/>
  <c r="M22" i="51"/>
  <c r="M22" i="10"/>
  <c r="B21" i="138"/>
  <c r="K57" i="50" s="1"/>
  <c r="N57" i="50"/>
  <c r="J57" i="50"/>
  <c r="J57" i="51"/>
  <c r="J57" i="10"/>
  <c r="H23" i="138"/>
  <c r="I23" i="138" s="1"/>
  <c r="J19" i="138" s="1"/>
  <c r="B25" i="138" s="1"/>
  <c r="AD22" i="138"/>
  <c r="AD16" i="138" s="1"/>
  <c r="V57" i="50" l="1"/>
  <c r="R57" i="50"/>
  <c r="BP57" i="10"/>
  <c r="AL57" i="10"/>
  <c r="K57" i="10"/>
  <c r="AT57" i="10" s="1"/>
  <c r="B23" i="138"/>
  <c r="B24" i="138"/>
  <c r="M57" i="51" s="1"/>
  <c r="K57" i="51"/>
  <c r="BH57" i="50" s="1"/>
  <c r="AZ57" i="50"/>
  <c r="AJ57" i="50"/>
  <c r="M57" i="10"/>
  <c r="N57" i="10"/>
  <c r="O57" i="10" l="1"/>
  <c r="V57" i="10"/>
  <c r="R57" i="10"/>
  <c r="M57" i="50"/>
  <c r="Q8" i="50"/>
  <c r="Q8" i="51"/>
  <c r="Q8" i="10"/>
  <c r="P8" i="50"/>
  <c r="P8" i="51"/>
  <c r="R8" i="51" s="1"/>
  <c r="P8" i="10"/>
  <c r="N8" i="10"/>
  <c r="L8" i="50"/>
  <c r="L8" i="51"/>
  <c r="L8" i="10"/>
  <c r="K8" i="50"/>
  <c r="K8" i="51"/>
  <c r="K8" i="10"/>
  <c r="J8" i="50"/>
  <c r="J8" i="51"/>
  <c r="J8" i="10"/>
  <c r="I8" i="50"/>
  <c r="I8" i="51"/>
  <c r="I8" i="10"/>
  <c r="G8" i="50"/>
  <c r="G8" i="51"/>
  <c r="G8" i="10"/>
  <c r="F8" i="50"/>
  <c r="F8" i="51"/>
  <c r="F8" i="10"/>
  <c r="E8" i="50"/>
  <c r="E8" i="51"/>
  <c r="E8" i="10"/>
  <c r="D8" i="50"/>
  <c r="D8" i="51"/>
  <c r="D8" i="10"/>
  <c r="C8" i="50"/>
  <c r="C8" i="51"/>
  <c r="C8" i="10"/>
  <c r="B8" i="50"/>
  <c r="B8" i="51"/>
  <c r="B8" i="10"/>
  <c r="B17" i="130"/>
  <c r="B23" i="130" s="1"/>
  <c r="E42" i="130"/>
  <c r="S8" i="51" l="1"/>
  <c r="H8" i="50"/>
  <c r="O8" i="50" s="1"/>
  <c r="H8" i="51"/>
  <c r="O8" i="51" s="1"/>
  <c r="H8" i="10"/>
  <c r="BK8" i="10" s="1"/>
  <c r="BR8" i="10"/>
  <c r="AL8" i="50"/>
  <c r="AE8" i="50"/>
  <c r="R8" i="50"/>
  <c r="U8" i="50"/>
  <c r="Y8" i="50"/>
  <c r="S8" i="50"/>
  <c r="W8" i="50"/>
  <c r="T8" i="50"/>
  <c r="X8" i="50"/>
  <c r="V8" i="50"/>
  <c r="R8" i="10"/>
  <c r="U8" i="10"/>
  <c r="Y8" i="10"/>
  <c r="AD8" i="10"/>
  <c r="AI8" i="10"/>
  <c r="AM8" i="10"/>
  <c r="AR8" i="10"/>
  <c r="AV8" i="10"/>
  <c r="BA8" i="10"/>
  <c r="BE8" i="10"/>
  <c r="BJ8" i="10"/>
  <c r="BO8" i="10"/>
  <c r="BS8" i="10"/>
  <c r="V8" i="10"/>
  <c r="AA8" i="10"/>
  <c r="AE8" i="10"/>
  <c r="AJ8" i="10"/>
  <c r="AN8" i="10"/>
  <c r="AS8" i="10"/>
  <c r="AW8" i="10"/>
  <c r="BB8" i="10"/>
  <c r="BG8" i="10"/>
  <c r="BP8" i="10"/>
  <c r="S8" i="10"/>
  <c r="W8" i="10"/>
  <c r="AB8" i="10"/>
  <c r="AF8" i="10"/>
  <c r="AK8" i="10"/>
  <c r="AO8" i="10"/>
  <c r="AT8" i="10"/>
  <c r="AY8" i="10"/>
  <c r="BC8" i="10"/>
  <c r="BH8" i="10"/>
  <c r="BL8" i="10"/>
  <c r="BQ8" i="10"/>
  <c r="T8" i="10"/>
  <c r="AL8" i="10"/>
  <c r="BD8" i="10"/>
  <c r="X8" i="10"/>
  <c r="AQ8" i="10"/>
  <c r="BI8" i="10"/>
  <c r="AC8" i="10"/>
  <c r="AU8" i="10"/>
  <c r="BN8" i="10"/>
  <c r="AG8" i="10"/>
  <c r="AZ8" i="10"/>
  <c r="BT8" i="50"/>
  <c r="AD8" i="50"/>
  <c r="AI8" i="50"/>
  <c r="AM8" i="50"/>
  <c r="AR8" i="50"/>
  <c r="AW8" i="50"/>
  <c r="BA8" i="50"/>
  <c r="BF8" i="50"/>
  <c r="BJ8" i="50"/>
  <c r="BO8" i="50"/>
  <c r="BS8" i="50"/>
  <c r="AB8" i="50"/>
  <c r="AF8" i="50"/>
  <c r="AK8" i="50"/>
  <c r="AP8" i="50"/>
  <c r="AT8" i="50"/>
  <c r="AY8" i="50"/>
  <c r="BC8" i="50"/>
  <c r="BH8" i="50"/>
  <c r="BM8" i="50"/>
  <c r="BQ8" i="50"/>
  <c r="AC8" i="50"/>
  <c r="AU8" i="50"/>
  <c r="BE8" i="50"/>
  <c r="BN8" i="50"/>
  <c r="AH8" i="50"/>
  <c r="AQ8" i="50"/>
  <c r="AZ8" i="50"/>
  <c r="BI8" i="50"/>
  <c r="BR8" i="50"/>
  <c r="AA8" i="50"/>
  <c r="AS8" i="50"/>
  <c r="BK8" i="50"/>
  <c r="AJ8" i="50"/>
  <c r="BB8" i="50"/>
  <c r="BG8" i="50"/>
  <c r="AO8" i="50"/>
  <c r="AX8" i="50"/>
  <c r="BP8" i="50"/>
  <c r="Y8" i="51"/>
  <c r="V8" i="51"/>
  <c r="U8" i="51"/>
  <c r="W8" i="51"/>
  <c r="X8" i="51"/>
  <c r="T8" i="51"/>
  <c r="B24" i="130"/>
  <c r="O8" i="10" l="1"/>
  <c r="M8" i="51"/>
  <c r="M8" i="10"/>
  <c r="M8" i="50"/>
  <c r="B19" i="129"/>
  <c r="E42" i="129"/>
  <c r="G13" i="129"/>
  <c r="G12" i="129"/>
  <c r="G11" i="129"/>
  <c r="B20" i="129" s="1"/>
  <c r="B25" i="129" s="1"/>
  <c r="I12" i="77"/>
  <c r="B19" i="77"/>
  <c r="B25" i="77" s="1"/>
  <c r="B20" i="77"/>
  <c r="B21" i="77" s="1"/>
  <c r="B50" i="47"/>
  <c r="E42" i="128"/>
  <c r="G16" i="128"/>
  <c r="B17" i="128" s="1"/>
  <c r="N90" i="50"/>
  <c r="Q90" i="50"/>
  <c r="Q90" i="51"/>
  <c r="Q90" i="10"/>
  <c r="P90" i="50"/>
  <c r="P90" i="51"/>
  <c r="P90" i="10"/>
  <c r="I90" i="50"/>
  <c r="I90" i="51"/>
  <c r="I90" i="10"/>
  <c r="G90" i="50"/>
  <c r="G90" i="51"/>
  <c r="G90" i="10"/>
  <c r="F90" i="50"/>
  <c r="F90" i="51"/>
  <c r="F90" i="10"/>
  <c r="E90" i="50"/>
  <c r="E90" i="51"/>
  <c r="E90" i="10"/>
  <c r="D90" i="50"/>
  <c r="D90" i="51"/>
  <c r="D90" i="10"/>
  <c r="C90" i="50"/>
  <c r="C90" i="51"/>
  <c r="C90" i="10"/>
  <c r="B90" i="50"/>
  <c r="B90" i="51"/>
  <c r="B90" i="10"/>
  <c r="B19" i="125"/>
  <c r="N94" i="50"/>
  <c r="AE90" i="50" l="1"/>
  <c r="AL90" i="50"/>
  <c r="S90" i="10"/>
  <c r="W90" i="10"/>
  <c r="AB90" i="10"/>
  <c r="AF90" i="10"/>
  <c r="AK90" i="10"/>
  <c r="AY90" i="10"/>
  <c r="BC90" i="10"/>
  <c r="BH90" i="10"/>
  <c r="BL90" i="10"/>
  <c r="BQ90" i="10"/>
  <c r="T90" i="10"/>
  <c r="X90" i="10"/>
  <c r="AC90" i="10"/>
  <c r="AQ90" i="10"/>
  <c r="AU90" i="10"/>
  <c r="AZ90" i="10"/>
  <c r="BD90" i="10"/>
  <c r="BI90" i="10"/>
  <c r="BN90" i="10"/>
  <c r="U90" i="10"/>
  <c r="AI90" i="10"/>
  <c r="AM90" i="10"/>
  <c r="AR90" i="10"/>
  <c r="AV90" i="10"/>
  <c r="BA90" i="10"/>
  <c r="BJ90" i="10"/>
  <c r="BO90" i="10"/>
  <c r="BS90" i="10"/>
  <c r="AE90" i="10"/>
  <c r="BP90" i="10"/>
  <c r="AA90" i="10"/>
  <c r="AJ90" i="10"/>
  <c r="AS90" i="10"/>
  <c r="AN90" i="10"/>
  <c r="BG90" i="10"/>
  <c r="BT90" i="50"/>
  <c r="S90" i="50"/>
  <c r="W90" i="50"/>
  <c r="U90" i="50"/>
  <c r="Y90" i="50"/>
  <c r="T90" i="50"/>
  <c r="V90" i="50"/>
  <c r="X90" i="50"/>
  <c r="AB90" i="50"/>
  <c r="AF90" i="50"/>
  <c r="AK90" i="50"/>
  <c r="AP90" i="50"/>
  <c r="AT90" i="50"/>
  <c r="AY90" i="50"/>
  <c r="BC90" i="50"/>
  <c r="BH90" i="50"/>
  <c r="BM90" i="50"/>
  <c r="BQ90" i="50"/>
  <c r="AD90" i="50"/>
  <c r="AI90" i="50"/>
  <c r="AM90" i="50"/>
  <c r="AR90" i="50"/>
  <c r="AW90" i="50"/>
  <c r="BA90" i="50"/>
  <c r="BF90" i="50"/>
  <c r="BJ90" i="50"/>
  <c r="BO90" i="50"/>
  <c r="BS90" i="50"/>
  <c r="AC90" i="50"/>
  <c r="AU90" i="50"/>
  <c r="BE90" i="50"/>
  <c r="BN90" i="50"/>
  <c r="AH90" i="50"/>
  <c r="AS90" i="50"/>
  <c r="BG90" i="50"/>
  <c r="BR90" i="50"/>
  <c r="AJ90" i="50"/>
  <c r="AX90" i="50"/>
  <c r="BI90" i="50"/>
  <c r="AA90" i="50"/>
  <c r="AO90" i="50"/>
  <c r="AZ90" i="50"/>
  <c r="BK90" i="50"/>
  <c r="BP90" i="50"/>
  <c r="AQ90" i="50"/>
  <c r="BB90" i="50"/>
  <c r="N104" i="10"/>
  <c r="B22" i="129"/>
  <c r="I12" i="129"/>
  <c r="B21" i="129" s="1"/>
  <c r="H90" i="51"/>
  <c r="H90" i="50"/>
  <c r="H16" i="128"/>
  <c r="B20" i="128" s="1"/>
  <c r="B21" i="128" s="1"/>
  <c r="H90" i="10"/>
  <c r="AD90" i="10" s="1"/>
  <c r="X90" i="51"/>
  <c r="S90" i="51"/>
  <c r="R90" i="50"/>
  <c r="G11" i="15"/>
  <c r="AG90" i="10" l="1"/>
  <c r="BK90" i="10"/>
  <c r="K104" i="10"/>
  <c r="K104" i="50"/>
  <c r="K104" i="51"/>
  <c r="BG104" i="50" s="1"/>
  <c r="R104" i="10"/>
  <c r="O104" i="10"/>
  <c r="R104" i="51"/>
  <c r="U104" i="51"/>
  <c r="L104" i="51"/>
  <c r="BO104" i="50" s="1"/>
  <c r="L104" i="10"/>
  <c r="L104" i="50"/>
  <c r="R104" i="50"/>
  <c r="B23" i="129"/>
  <c r="B24" i="129"/>
  <c r="B25" i="128"/>
  <c r="B27" i="128" s="1"/>
  <c r="B22" i="128"/>
  <c r="B23" i="128" s="1"/>
  <c r="Q94" i="50"/>
  <c r="Q94" i="51"/>
  <c r="Q94" i="10"/>
  <c r="P94" i="50"/>
  <c r="P94" i="51"/>
  <c r="P94" i="10"/>
  <c r="I94" i="50"/>
  <c r="I94" i="51"/>
  <c r="I94" i="10"/>
  <c r="G94" i="50"/>
  <c r="G94" i="51"/>
  <c r="G94" i="10"/>
  <c r="F94" i="50"/>
  <c r="F94" i="51"/>
  <c r="F94" i="10"/>
  <c r="E94" i="50"/>
  <c r="E94" i="51"/>
  <c r="E94" i="10"/>
  <c r="D94" i="50"/>
  <c r="D94" i="51"/>
  <c r="D94" i="10"/>
  <c r="C94" i="50"/>
  <c r="C94" i="51"/>
  <c r="C94" i="10"/>
  <c r="B94" i="50"/>
  <c r="B94" i="51"/>
  <c r="B94" i="10"/>
  <c r="AE94" i="50" l="1"/>
  <c r="AL94" i="50"/>
  <c r="BR94" i="10"/>
  <c r="BK94" i="10"/>
  <c r="BT94" i="50"/>
  <c r="AC94" i="50"/>
  <c r="AH94" i="50"/>
  <c r="AQ94" i="50"/>
  <c r="AU94" i="50"/>
  <c r="AZ94" i="50"/>
  <c r="BE94" i="50"/>
  <c r="BI94" i="50"/>
  <c r="BN94" i="50"/>
  <c r="BR94" i="50"/>
  <c r="AS94" i="50"/>
  <c r="BB94" i="50"/>
  <c r="BK94" i="50"/>
  <c r="AF94" i="50"/>
  <c r="AP94" i="50"/>
  <c r="AY94" i="50"/>
  <c r="BH94" i="50"/>
  <c r="BQ94" i="50"/>
  <c r="AD94" i="50"/>
  <c r="AI94" i="50"/>
  <c r="AM94" i="50"/>
  <c r="AR94" i="50"/>
  <c r="AW94" i="50"/>
  <c r="BA94" i="50"/>
  <c r="BF94" i="50"/>
  <c r="BJ94" i="50"/>
  <c r="BO94" i="50"/>
  <c r="BS94" i="50"/>
  <c r="AA94" i="50"/>
  <c r="AJ94" i="50"/>
  <c r="AO94" i="50"/>
  <c r="AX94" i="50"/>
  <c r="BG94" i="50"/>
  <c r="BP94" i="50"/>
  <c r="AB94" i="50"/>
  <c r="AK94" i="50"/>
  <c r="AT94" i="50"/>
  <c r="BC94" i="50"/>
  <c r="BM94" i="50"/>
  <c r="R94" i="50"/>
  <c r="T94" i="50"/>
  <c r="X94" i="50"/>
  <c r="V94" i="50"/>
  <c r="S94" i="50"/>
  <c r="U94" i="50"/>
  <c r="Y94" i="50"/>
  <c r="W94" i="50"/>
  <c r="X94" i="51"/>
  <c r="T94" i="10"/>
  <c r="X94" i="10"/>
  <c r="AG94" i="10"/>
  <c r="AL94" i="10"/>
  <c r="AU94" i="10"/>
  <c r="AZ94" i="10"/>
  <c r="BD94" i="10"/>
  <c r="BI94" i="10"/>
  <c r="BN94" i="10"/>
  <c r="V94" i="10"/>
  <c r="AE94" i="10"/>
  <c r="BB94" i="10"/>
  <c r="AB94" i="10"/>
  <c r="Y94" i="10"/>
  <c r="AD94" i="10"/>
  <c r="AM94" i="10"/>
  <c r="AR94" i="10"/>
  <c r="AV94" i="10"/>
  <c r="BE94" i="10"/>
  <c r="BJ94" i="10"/>
  <c r="BS94" i="10"/>
  <c r="AJ94" i="10"/>
  <c r="AN94" i="10"/>
  <c r="AW94" i="10"/>
  <c r="BG94" i="10"/>
  <c r="BP94" i="10"/>
  <c r="W94" i="10"/>
  <c r="AF94" i="10"/>
  <c r="AO94" i="10"/>
  <c r="AT94" i="10"/>
  <c r="BC94" i="10"/>
  <c r="BL94" i="10"/>
  <c r="BQ94" i="10"/>
  <c r="M104" i="50"/>
  <c r="M104" i="51"/>
  <c r="M104" i="10"/>
  <c r="B26" i="128"/>
  <c r="B24" i="128"/>
  <c r="T94" i="51"/>
  <c r="W94" i="51"/>
  <c r="V94" i="51"/>
  <c r="Y94" i="51"/>
  <c r="I11" i="19"/>
  <c r="G12" i="19"/>
  <c r="G11" i="19"/>
  <c r="E42" i="127"/>
  <c r="B20" i="127"/>
  <c r="O14" i="127"/>
  <c r="B3" i="2"/>
  <c r="B22" i="127" l="1"/>
  <c r="L94" i="50" s="1"/>
  <c r="N94" i="51"/>
  <c r="U94" i="51" s="1"/>
  <c r="H94" i="50"/>
  <c r="H94" i="51"/>
  <c r="H94" i="10"/>
  <c r="AC94" i="10" s="1"/>
  <c r="B18" i="127"/>
  <c r="B21" i="127"/>
  <c r="B25" i="127"/>
  <c r="J17" i="124"/>
  <c r="G11" i="124" s="1"/>
  <c r="B19" i="124" s="1"/>
  <c r="B25" i="124" s="1"/>
  <c r="J9" i="76"/>
  <c r="J9" i="18"/>
  <c r="N64" i="51"/>
  <c r="N62" i="51"/>
  <c r="N61" i="51"/>
  <c r="Q64" i="51"/>
  <c r="P64" i="51"/>
  <c r="I64" i="51"/>
  <c r="G64" i="51"/>
  <c r="F64" i="51"/>
  <c r="E64" i="51"/>
  <c r="D64" i="51"/>
  <c r="C64" i="51"/>
  <c r="B64" i="51"/>
  <c r="Q63" i="51"/>
  <c r="P63" i="51"/>
  <c r="I63" i="51"/>
  <c r="H63" i="51"/>
  <c r="O63" i="51" s="1"/>
  <c r="G63" i="51"/>
  <c r="F63" i="51"/>
  <c r="E63" i="51"/>
  <c r="D63" i="51"/>
  <c r="C63" i="51"/>
  <c r="B63" i="51"/>
  <c r="Q62" i="51"/>
  <c r="P62" i="51"/>
  <c r="J62" i="51"/>
  <c r="I62" i="51"/>
  <c r="H62" i="51"/>
  <c r="G62" i="51"/>
  <c r="F62" i="51"/>
  <c r="E62" i="51"/>
  <c r="D62" i="51"/>
  <c r="C62" i="51"/>
  <c r="B62" i="51"/>
  <c r="Q61" i="51"/>
  <c r="P61" i="51"/>
  <c r="I61" i="51"/>
  <c r="G61" i="51"/>
  <c r="F61" i="51"/>
  <c r="E61" i="51"/>
  <c r="D61" i="51"/>
  <c r="C61" i="51"/>
  <c r="B61" i="51"/>
  <c r="Q64" i="50"/>
  <c r="P64" i="50"/>
  <c r="I64" i="50"/>
  <c r="G64" i="50"/>
  <c r="F64" i="50"/>
  <c r="E64" i="50"/>
  <c r="D64" i="50"/>
  <c r="C64" i="50"/>
  <c r="B64" i="50"/>
  <c r="Q63" i="50"/>
  <c r="P63" i="50"/>
  <c r="J63" i="50"/>
  <c r="I63" i="50"/>
  <c r="G63" i="50"/>
  <c r="F63" i="50"/>
  <c r="E63" i="50"/>
  <c r="D63" i="50"/>
  <c r="C63" i="50"/>
  <c r="B63" i="50"/>
  <c r="Q62" i="50"/>
  <c r="P62" i="50"/>
  <c r="J62" i="50"/>
  <c r="I62" i="50"/>
  <c r="H62" i="50"/>
  <c r="G62" i="50"/>
  <c r="F62" i="50"/>
  <c r="E62" i="50"/>
  <c r="D62" i="50"/>
  <c r="C62" i="50"/>
  <c r="B62" i="50"/>
  <c r="Q61" i="50"/>
  <c r="P61" i="50"/>
  <c r="I61" i="50"/>
  <c r="G61" i="50"/>
  <c r="F61" i="50"/>
  <c r="E61" i="50"/>
  <c r="D61" i="50"/>
  <c r="C61" i="50"/>
  <c r="B61" i="50"/>
  <c r="Q64" i="10"/>
  <c r="Q63" i="10"/>
  <c r="Q62" i="10"/>
  <c r="Q61" i="10"/>
  <c r="P64" i="10"/>
  <c r="P63" i="10"/>
  <c r="P62" i="10"/>
  <c r="P61" i="10"/>
  <c r="J62" i="10"/>
  <c r="I64" i="10"/>
  <c r="I63" i="10"/>
  <c r="I62" i="10"/>
  <c r="I61" i="10"/>
  <c r="H62" i="10"/>
  <c r="G64" i="10"/>
  <c r="G63" i="10"/>
  <c r="G62" i="10"/>
  <c r="G61" i="10"/>
  <c r="F64" i="10"/>
  <c r="F63" i="10"/>
  <c r="F62" i="10"/>
  <c r="F61" i="10"/>
  <c r="E64" i="10"/>
  <c r="E63" i="10"/>
  <c r="E62" i="10"/>
  <c r="E61" i="10"/>
  <c r="D64" i="10"/>
  <c r="D63" i="10"/>
  <c r="D62" i="10"/>
  <c r="D61" i="10"/>
  <c r="C64" i="10"/>
  <c r="C63" i="10"/>
  <c r="C62" i="10"/>
  <c r="C61" i="10"/>
  <c r="B64" i="10"/>
  <c r="B63" i="10"/>
  <c r="B62" i="10"/>
  <c r="B61" i="10"/>
  <c r="N34" i="50"/>
  <c r="B17" i="17"/>
  <c r="E42" i="17"/>
  <c r="J14" i="17"/>
  <c r="I14" i="17"/>
  <c r="H14" i="17"/>
  <c r="G14" i="17"/>
  <c r="E42" i="125"/>
  <c r="B22" i="125"/>
  <c r="L63" i="10" s="1"/>
  <c r="G13" i="125"/>
  <c r="B18" i="125" s="1"/>
  <c r="J63" i="51" s="1"/>
  <c r="G12" i="125"/>
  <c r="B17" i="125" s="1"/>
  <c r="H63" i="10" s="1"/>
  <c r="O63" i="10" s="1"/>
  <c r="G11" i="125"/>
  <c r="E42" i="124"/>
  <c r="B22" i="124"/>
  <c r="L62" i="50" s="1"/>
  <c r="G13" i="124"/>
  <c r="G12" i="124"/>
  <c r="E42" i="123"/>
  <c r="B22" i="123"/>
  <c r="L61" i="50" s="1"/>
  <c r="G13" i="123"/>
  <c r="B18" i="123" s="1"/>
  <c r="J61" i="51" s="1"/>
  <c r="G12" i="123"/>
  <c r="B17" i="123" s="1"/>
  <c r="H61" i="50" s="1"/>
  <c r="G11" i="123"/>
  <c r="H61" i="10" l="1"/>
  <c r="B19" i="123"/>
  <c r="N61" i="50" s="1"/>
  <c r="BK61" i="10"/>
  <c r="AL64" i="50"/>
  <c r="AE64" i="50"/>
  <c r="BR62" i="10"/>
  <c r="BK62" i="10"/>
  <c r="BK63" i="10"/>
  <c r="AL61" i="50"/>
  <c r="AL63" i="50"/>
  <c r="AE63" i="50"/>
  <c r="AL62" i="50"/>
  <c r="AE62" i="50"/>
  <c r="B24" i="127"/>
  <c r="M94" i="10" s="1"/>
  <c r="L94" i="51"/>
  <c r="BT64" i="50"/>
  <c r="V64" i="50"/>
  <c r="T64" i="50"/>
  <c r="X64" i="50"/>
  <c r="U64" i="50"/>
  <c r="S64" i="50"/>
  <c r="W64" i="50"/>
  <c r="AA62" i="50"/>
  <c r="AJ62" i="50"/>
  <c r="AO62" i="50"/>
  <c r="AS62" i="50"/>
  <c r="AX62" i="50"/>
  <c r="BB62" i="50"/>
  <c r="BG62" i="50"/>
  <c r="BP62" i="50"/>
  <c r="AC62" i="50"/>
  <c r="AH62" i="50"/>
  <c r="AQ62" i="50"/>
  <c r="AU62" i="50"/>
  <c r="AZ62" i="50"/>
  <c r="BE62" i="50"/>
  <c r="BI62" i="50"/>
  <c r="BN62" i="50"/>
  <c r="BR62" i="50"/>
  <c r="AD62" i="50"/>
  <c r="AM62" i="50"/>
  <c r="AW62" i="50"/>
  <c r="BF62" i="50"/>
  <c r="BO62" i="50"/>
  <c r="AB62" i="50"/>
  <c r="AK62" i="50"/>
  <c r="AT62" i="50"/>
  <c r="BC62" i="50"/>
  <c r="BM62" i="50"/>
  <c r="AR62" i="50"/>
  <c r="BJ62" i="50"/>
  <c r="AF62" i="50"/>
  <c r="AY62" i="50"/>
  <c r="BQ62" i="50"/>
  <c r="AI62" i="50"/>
  <c r="BA62" i="50"/>
  <c r="BS62" i="50"/>
  <c r="AP62" i="50"/>
  <c r="BH62" i="50"/>
  <c r="S94" i="51"/>
  <c r="R94" i="51"/>
  <c r="U63" i="10"/>
  <c r="AD63" i="10"/>
  <c r="AI63" i="10"/>
  <c r="AM63" i="10"/>
  <c r="AR63" i="10"/>
  <c r="AV63" i="10"/>
  <c r="BA63" i="10"/>
  <c r="BE63" i="10"/>
  <c r="BJ63" i="10"/>
  <c r="BO63" i="10"/>
  <c r="BS63" i="10"/>
  <c r="V63" i="10"/>
  <c r="AA63" i="10"/>
  <c r="AE63" i="10"/>
  <c r="AJ63" i="10"/>
  <c r="AN63" i="10"/>
  <c r="AS63" i="10"/>
  <c r="BB63" i="10"/>
  <c r="BG63" i="10"/>
  <c r="BP63" i="10"/>
  <c r="S63" i="10"/>
  <c r="W63" i="10"/>
  <c r="AB63" i="10"/>
  <c r="AF63" i="10"/>
  <c r="AK63" i="10"/>
  <c r="AT63" i="10"/>
  <c r="AY63" i="10"/>
  <c r="BC63" i="10"/>
  <c r="BH63" i="10"/>
  <c r="BL63" i="10"/>
  <c r="BQ63" i="10"/>
  <c r="T63" i="10"/>
  <c r="AL63" i="10"/>
  <c r="BD63" i="10"/>
  <c r="AZ63" i="10"/>
  <c r="X63" i="10"/>
  <c r="AQ63" i="10"/>
  <c r="BI63" i="10"/>
  <c r="AG63" i="10"/>
  <c r="AC63" i="10"/>
  <c r="AU63" i="10"/>
  <c r="BN63" i="10"/>
  <c r="V62" i="50"/>
  <c r="T62" i="50"/>
  <c r="X62" i="50"/>
  <c r="U62" i="50"/>
  <c r="S62" i="50"/>
  <c r="W62" i="50"/>
  <c r="AA61" i="50"/>
  <c r="AJ61" i="50"/>
  <c r="AO61" i="50"/>
  <c r="AS61" i="50"/>
  <c r="AX61" i="50"/>
  <c r="BB61" i="50"/>
  <c r="BG61" i="50"/>
  <c r="BP61" i="50"/>
  <c r="AC61" i="50"/>
  <c r="AH61" i="50"/>
  <c r="AQ61" i="50"/>
  <c r="AZ61" i="50"/>
  <c r="BE61" i="50"/>
  <c r="BI61" i="50"/>
  <c r="BN61" i="50"/>
  <c r="BR61" i="50"/>
  <c r="AI61" i="50"/>
  <c r="AR61" i="50"/>
  <c r="AK61" i="50"/>
  <c r="AW61" i="50"/>
  <c r="BF61" i="50"/>
  <c r="BO61" i="50"/>
  <c r="AF61" i="50"/>
  <c r="AT61" i="50"/>
  <c r="BC61" i="50"/>
  <c r="BM61" i="50"/>
  <c r="AP61" i="50"/>
  <c r="BJ61" i="50"/>
  <c r="AB61" i="50"/>
  <c r="AY61" i="50"/>
  <c r="BQ61" i="50"/>
  <c r="AD61" i="50"/>
  <c r="BA61" i="50"/>
  <c r="BS61" i="50"/>
  <c r="BH61" i="50"/>
  <c r="AM61" i="50"/>
  <c r="BT62" i="50"/>
  <c r="AA94" i="10"/>
  <c r="BH94" i="10"/>
  <c r="T62" i="10"/>
  <c r="X62" i="10"/>
  <c r="AC62" i="10"/>
  <c r="AG62" i="10"/>
  <c r="AL62" i="10"/>
  <c r="AQ62" i="10"/>
  <c r="AU62" i="10"/>
  <c r="AZ62" i="10"/>
  <c r="BD62" i="10"/>
  <c r="BI62" i="10"/>
  <c r="BN62" i="10"/>
  <c r="U62" i="10"/>
  <c r="AD62" i="10"/>
  <c r="AI62" i="10"/>
  <c r="AM62" i="10"/>
  <c r="AR62" i="10"/>
  <c r="AV62" i="10"/>
  <c r="BA62" i="10"/>
  <c r="BJ62" i="10"/>
  <c r="BO62" i="10"/>
  <c r="BS62" i="10"/>
  <c r="V62" i="10"/>
  <c r="AA62" i="10"/>
  <c r="AE62" i="10"/>
  <c r="AJ62" i="10"/>
  <c r="AN62" i="10"/>
  <c r="AS62" i="10"/>
  <c r="BB62" i="10"/>
  <c r="BG62" i="10"/>
  <c r="BP62" i="10"/>
  <c r="S62" i="10"/>
  <c r="AK62" i="10"/>
  <c r="BC62" i="10"/>
  <c r="AY62" i="10"/>
  <c r="W62" i="10"/>
  <c r="AO62" i="10"/>
  <c r="BH62" i="10"/>
  <c r="AB62" i="10"/>
  <c r="AT62" i="10"/>
  <c r="BL62" i="10"/>
  <c r="AF62" i="10"/>
  <c r="BQ62" i="10"/>
  <c r="V64" i="10"/>
  <c r="AA64" i="10"/>
  <c r="AE64" i="10"/>
  <c r="AJ64" i="10"/>
  <c r="AN64" i="10"/>
  <c r="AS64" i="10"/>
  <c r="BB64" i="10"/>
  <c r="BG64" i="10"/>
  <c r="BP64" i="10"/>
  <c r="S64" i="10"/>
  <c r="W64" i="10"/>
  <c r="AB64" i="10"/>
  <c r="AF64" i="10"/>
  <c r="AK64" i="10"/>
  <c r="AT64" i="10"/>
  <c r="AY64" i="10"/>
  <c r="BC64" i="10"/>
  <c r="BH64" i="10"/>
  <c r="BL64" i="10"/>
  <c r="BQ64" i="10"/>
  <c r="T64" i="10"/>
  <c r="X64" i="10"/>
  <c r="AC64" i="10"/>
  <c r="AL64" i="10"/>
  <c r="AQ64" i="10"/>
  <c r="AU64" i="10"/>
  <c r="AZ64" i="10"/>
  <c r="BD64" i="10"/>
  <c r="BI64" i="10"/>
  <c r="BN64" i="10"/>
  <c r="U64" i="10"/>
  <c r="AM64" i="10"/>
  <c r="AI64" i="10"/>
  <c r="AR64" i="10"/>
  <c r="BJ64" i="10"/>
  <c r="BA64" i="10"/>
  <c r="AD64" i="10"/>
  <c r="AV64" i="10"/>
  <c r="BO64" i="10"/>
  <c r="BS64" i="10"/>
  <c r="V61" i="50"/>
  <c r="T61" i="50"/>
  <c r="X61" i="50"/>
  <c r="W61" i="50"/>
  <c r="U61" i="50"/>
  <c r="S61" i="50"/>
  <c r="BT61" i="50"/>
  <c r="AA63" i="50"/>
  <c r="AJ63" i="50"/>
  <c r="AO63" i="50"/>
  <c r="AS63" i="50"/>
  <c r="AX63" i="50"/>
  <c r="BB63" i="50"/>
  <c r="BG63" i="50"/>
  <c r="BK63" i="50"/>
  <c r="BP63" i="50"/>
  <c r="AC63" i="50"/>
  <c r="AH63" i="50"/>
  <c r="AQ63" i="50"/>
  <c r="AU63" i="50"/>
  <c r="AZ63" i="50"/>
  <c r="BE63" i="50"/>
  <c r="BI63" i="50"/>
  <c r="BN63" i="50"/>
  <c r="BR63" i="50"/>
  <c r="AD63" i="50"/>
  <c r="AM63" i="50"/>
  <c r="AW63" i="50"/>
  <c r="BF63" i="50"/>
  <c r="BO63" i="50"/>
  <c r="AB63" i="50"/>
  <c r="AK63" i="50"/>
  <c r="AT63" i="50"/>
  <c r="BC63" i="50"/>
  <c r="BM63" i="50"/>
  <c r="AR63" i="50"/>
  <c r="BJ63" i="50"/>
  <c r="AF63" i="50"/>
  <c r="AY63" i="50"/>
  <c r="BQ63" i="50"/>
  <c r="AI63" i="50"/>
  <c r="BA63" i="50"/>
  <c r="BS63" i="50"/>
  <c r="AP63" i="50"/>
  <c r="BH63" i="50"/>
  <c r="S61" i="10"/>
  <c r="W61" i="10"/>
  <c r="AB61" i="10"/>
  <c r="AF61" i="10"/>
  <c r="AK61" i="10"/>
  <c r="AT61" i="10"/>
  <c r="AY61" i="10"/>
  <c r="BC61" i="10"/>
  <c r="BH61" i="10"/>
  <c r="BL61" i="10"/>
  <c r="BQ61" i="10"/>
  <c r="T61" i="10"/>
  <c r="X61" i="10"/>
  <c r="AC61" i="10"/>
  <c r="AG61" i="10"/>
  <c r="AL61" i="10"/>
  <c r="AQ61" i="10"/>
  <c r="AU61" i="10"/>
  <c r="AZ61" i="10"/>
  <c r="BD61" i="10"/>
  <c r="BI61" i="10"/>
  <c r="BN61" i="10"/>
  <c r="U61" i="10"/>
  <c r="AD61" i="10"/>
  <c r="AI61" i="10"/>
  <c r="AM61" i="10"/>
  <c r="AR61" i="10"/>
  <c r="AV61" i="10"/>
  <c r="BA61" i="10"/>
  <c r="BJ61" i="10"/>
  <c r="BO61" i="10"/>
  <c r="BS61" i="10"/>
  <c r="AJ61" i="10"/>
  <c r="BB61" i="10"/>
  <c r="AE61" i="10"/>
  <c r="V61" i="10"/>
  <c r="AN61" i="10"/>
  <c r="BG61" i="10"/>
  <c r="BP61" i="10"/>
  <c r="AA61" i="10"/>
  <c r="AS61" i="10"/>
  <c r="V63" i="50"/>
  <c r="T63" i="50"/>
  <c r="X63" i="50"/>
  <c r="U63" i="50"/>
  <c r="S63" i="50"/>
  <c r="W63" i="50"/>
  <c r="BT63" i="50"/>
  <c r="AA64" i="50"/>
  <c r="AJ64" i="50"/>
  <c r="AO64" i="50"/>
  <c r="AS64" i="50"/>
  <c r="AX64" i="50"/>
  <c r="BB64" i="50"/>
  <c r="BG64" i="50"/>
  <c r="BK64" i="50"/>
  <c r="AH64" i="50"/>
  <c r="AQ64" i="50"/>
  <c r="AU64" i="50"/>
  <c r="AZ64" i="50"/>
  <c r="BE64" i="50"/>
  <c r="BI64" i="50"/>
  <c r="BN64" i="50"/>
  <c r="BR64" i="50"/>
  <c r="AD64" i="50"/>
  <c r="AM64" i="50"/>
  <c r="AW64" i="50"/>
  <c r="BF64" i="50"/>
  <c r="BO64" i="50"/>
  <c r="AB64" i="50"/>
  <c r="AK64" i="50"/>
  <c r="AT64" i="50"/>
  <c r="BC64" i="50"/>
  <c r="BM64" i="50"/>
  <c r="BJ64" i="50"/>
  <c r="AF64" i="50"/>
  <c r="AY64" i="50"/>
  <c r="BQ64" i="50"/>
  <c r="AI64" i="50"/>
  <c r="BA64" i="50"/>
  <c r="BS64" i="50"/>
  <c r="AP64" i="50"/>
  <c r="L94" i="10"/>
  <c r="V62" i="51"/>
  <c r="B25" i="125"/>
  <c r="N63" i="10" s="1"/>
  <c r="Y63" i="10" s="1"/>
  <c r="N63" i="50"/>
  <c r="Y63" i="50" s="1"/>
  <c r="J64" i="50"/>
  <c r="J64" i="10"/>
  <c r="AO64" i="10" s="1"/>
  <c r="J64" i="51"/>
  <c r="H64" i="51"/>
  <c r="O64" i="51" s="1"/>
  <c r="H64" i="10"/>
  <c r="H64" i="50"/>
  <c r="J61" i="10"/>
  <c r="BR61" i="10" s="1"/>
  <c r="J61" i="50"/>
  <c r="L63" i="51"/>
  <c r="X64" i="51"/>
  <c r="U62" i="51"/>
  <c r="N94" i="10"/>
  <c r="U94" i="10" s="1"/>
  <c r="X61" i="51"/>
  <c r="L61" i="10"/>
  <c r="BE61" i="10" s="1"/>
  <c r="H63" i="50"/>
  <c r="O63" i="50" s="1"/>
  <c r="L63" i="50"/>
  <c r="H61" i="51"/>
  <c r="O61" i="51" s="1"/>
  <c r="L61" i="51"/>
  <c r="N63" i="51"/>
  <c r="R63" i="51" s="1"/>
  <c r="J94" i="10"/>
  <c r="AK94" i="10" s="1"/>
  <c r="J94" i="51"/>
  <c r="J94" i="50"/>
  <c r="G22" i="17"/>
  <c r="B21" i="17" s="1"/>
  <c r="B23" i="17" s="1"/>
  <c r="T64" i="51"/>
  <c r="S62" i="51"/>
  <c r="J63" i="10"/>
  <c r="AO63" i="10" s="1"/>
  <c r="B23" i="127"/>
  <c r="K94" i="51"/>
  <c r="K94" i="50"/>
  <c r="K94" i="10"/>
  <c r="S64" i="51"/>
  <c r="Y64" i="51"/>
  <c r="U64" i="51"/>
  <c r="Y62" i="51"/>
  <c r="U61" i="51"/>
  <c r="B26" i="127"/>
  <c r="B27" i="127"/>
  <c r="B21" i="124"/>
  <c r="N62" i="50"/>
  <c r="R62" i="50" s="1"/>
  <c r="N62" i="10"/>
  <c r="O62" i="10" s="1"/>
  <c r="L62" i="10"/>
  <c r="BE62" i="10" s="1"/>
  <c r="L62" i="51"/>
  <c r="O62" i="51"/>
  <c r="W64" i="51"/>
  <c r="W62" i="51"/>
  <c r="R62" i="51"/>
  <c r="R61" i="51"/>
  <c r="U63" i="51"/>
  <c r="X63" i="51"/>
  <c r="S63" i="51"/>
  <c r="V61" i="51"/>
  <c r="T63" i="51"/>
  <c r="W63" i="51"/>
  <c r="S61" i="51"/>
  <c r="W61" i="51"/>
  <c r="R64" i="51"/>
  <c r="V64" i="51"/>
  <c r="V63" i="51"/>
  <c r="T62" i="51"/>
  <c r="X62" i="51"/>
  <c r="Y61" i="51"/>
  <c r="T61" i="51"/>
  <c r="B18" i="17"/>
  <c r="B21" i="125"/>
  <c r="B25" i="123"/>
  <c r="N61" i="10" s="1"/>
  <c r="R61" i="10" s="1"/>
  <c r="AU61" i="50" l="1"/>
  <c r="AE61" i="50"/>
  <c r="AC64" i="50"/>
  <c r="AR64" i="50"/>
  <c r="O64" i="50"/>
  <c r="R61" i="50"/>
  <c r="Y61" i="50"/>
  <c r="O61" i="50"/>
  <c r="B21" i="123"/>
  <c r="B24" i="123" s="1"/>
  <c r="O61" i="10"/>
  <c r="BK64" i="10"/>
  <c r="BR63" i="10"/>
  <c r="BR64" i="10"/>
  <c r="AQ94" i="10"/>
  <c r="AS94" i="10"/>
  <c r="AY94" i="10"/>
  <c r="BA94" i="10"/>
  <c r="M94" i="51"/>
  <c r="M94" i="50"/>
  <c r="Y62" i="10"/>
  <c r="AG64" i="10"/>
  <c r="Y63" i="51"/>
  <c r="BO94" i="10"/>
  <c r="AI94" i="10"/>
  <c r="R94" i="10"/>
  <c r="S94" i="10"/>
  <c r="Y61" i="10"/>
  <c r="AO61" i="10"/>
  <c r="Y62" i="50"/>
  <c r="O94" i="10"/>
  <c r="B24" i="17"/>
  <c r="R63" i="10"/>
  <c r="R63" i="50"/>
  <c r="L64" i="51"/>
  <c r="BP64" i="50" s="1"/>
  <c r="L64" i="50"/>
  <c r="L64" i="10"/>
  <c r="BE64" i="10" s="1"/>
  <c r="B24" i="125"/>
  <c r="K63" i="50"/>
  <c r="K63" i="10"/>
  <c r="AW63" i="10" s="1"/>
  <c r="K63" i="51"/>
  <c r="N64" i="10"/>
  <c r="N64" i="50"/>
  <c r="Y64" i="50" s="1"/>
  <c r="K64" i="10"/>
  <c r="AW64" i="10" s="1"/>
  <c r="K64" i="51"/>
  <c r="BH64" i="50" s="1"/>
  <c r="K64" i="50"/>
  <c r="O62" i="50"/>
  <c r="R62" i="10"/>
  <c r="B24" i="124"/>
  <c r="M62" i="10" s="1"/>
  <c r="K62" i="51"/>
  <c r="BK62" i="50" s="1"/>
  <c r="K62" i="50"/>
  <c r="K62" i="10"/>
  <c r="AW62" i="10" s="1"/>
  <c r="B23" i="125"/>
  <c r="B23" i="124"/>
  <c r="B23" i="123"/>
  <c r="Y64" i="10" l="1"/>
  <c r="M62" i="51"/>
  <c r="O64" i="10"/>
  <c r="K61" i="10"/>
  <c r="AW61" i="10" s="1"/>
  <c r="K61" i="50"/>
  <c r="K61" i="51"/>
  <c r="BK61" i="50" s="1"/>
  <c r="R64" i="10"/>
  <c r="M63" i="50"/>
  <c r="M63" i="10"/>
  <c r="M63" i="51"/>
  <c r="M64" i="50"/>
  <c r="M64" i="10"/>
  <c r="M64" i="51"/>
  <c r="R64" i="50"/>
  <c r="M61" i="10"/>
  <c r="M61" i="50"/>
  <c r="M61" i="51"/>
  <c r="M62" i="50"/>
  <c r="G13" i="76" l="1"/>
  <c r="B18" i="76" s="1"/>
  <c r="G12" i="76"/>
  <c r="B17" i="76" s="1"/>
  <c r="G11" i="76"/>
  <c r="B19" i="76" s="1"/>
  <c r="G13" i="78"/>
  <c r="G12" i="78"/>
  <c r="G11" i="78"/>
  <c r="G11" i="18"/>
  <c r="B20" i="18" s="1"/>
  <c r="B25" i="79"/>
  <c r="L11" i="79"/>
  <c r="M11" i="79"/>
  <c r="N11" i="79"/>
  <c r="K11" i="79"/>
  <c r="H11" i="79"/>
  <c r="I11" i="79"/>
  <c r="J11" i="79"/>
  <c r="G11" i="79"/>
  <c r="B25" i="76" l="1"/>
  <c r="B21" i="76"/>
  <c r="B21" i="18"/>
  <c r="B25" i="18"/>
  <c r="N125" i="50"/>
  <c r="N124" i="50"/>
  <c r="N123" i="50"/>
  <c r="N122" i="50"/>
  <c r="N121" i="50"/>
  <c r="N120" i="50"/>
  <c r="N119" i="50"/>
  <c r="N117" i="50"/>
  <c r="N116" i="50"/>
  <c r="N115" i="50"/>
  <c r="N114" i="50"/>
  <c r="N113" i="50"/>
  <c r="N112" i="50"/>
  <c r="N2" i="51"/>
  <c r="N4" i="51"/>
  <c r="N5" i="51"/>
  <c r="N6" i="51"/>
  <c r="N7" i="51"/>
  <c r="N13" i="51"/>
  <c r="N15" i="51"/>
  <c r="N16" i="51"/>
  <c r="N18" i="51"/>
  <c r="N19" i="51"/>
  <c r="N20" i="51"/>
  <c r="N21" i="51"/>
  <c r="N31" i="51"/>
  <c r="N32" i="51"/>
  <c r="Q126" i="51"/>
  <c r="P126" i="51"/>
  <c r="Q125" i="51"/>
  <c r="P125" i="51"/>
  <c r="Q124" i="51"/>
  <c r="P124" i="51"/>
  <c r="Q123" i="51"/>
  <c r="P123" i="51"/>
  <c r="Q122" i="51"/>
  <c r="P122" i="51"/>
  <c r="Q121" i="51"/>
  <c r="P121" i="51"/>
  <c r="Q120" i="51"/>
  <c r="P120" i="51"/>
  <c r="Q119" i="51"/>
  <c r="P119" i="51"/>
  <c r="Q118" i="51"/>
  <c r="P118" i="51"/>
  <c r="Q117" i="51"/>
  <c r="P117" i="51"/>
  <c r="Q116" i="51"/>
  <c r="P116" i="51"/>
  <c r="Q115" i="51"/>
  <c r="P115" i="51"/>
  <c r="Q114" i="51"/>
  <c r="P114" i="51"/>
  <c r="Q113" i="51"/>
  <c r="P113" i="51"/>
  <c r="Q112" i="51"/>
  <c r="P112" i="51"/>
  <c r="Q111" i="51"/>
  <c r="P111" i="51"/>
  <c r="Q110" i="51"/>
  <c r="P110" i="51"/>
  <c r="Q126" i="50"/>
  <c r="P126" i="50"/>
  <c r="Q125" i="50"/>
  <c r="P125" i="50"/>
  <c r="Q124" i="50"/>
  <c r="P124" i="50"/>
  <c r="Q123" i="50"/>
  <c r="P123" i="50"/>
  <c r="Q122" i="50"/>
  <c r="P122" i="50"/>
  <c r="Q121" i="50"/>
  <c r="P121" i="50"/>
  <c r="Q120" i="50"/>
  <c r="P120" i="50"/>
  <c r="Q119" i="50"/>
  <c r="P119" i="50"/>
  <c r="Q118" i="50"/>
  <c r="P118" i="50"/>
  <c r="Q117" i="50"/>
  <c r="P117" i="50"/>
  <c r="Q116" i="50"/>
  <c r="P116" i="50"/>
  <c r="Q115" i="50"/>
  <c r="P115" i="50"/>
  <c r="Q114" i="50"/>
  <c r="P114" i="50"/>
  <c r="Q113" i="50"/>
  <c r="P113" i="50"/>
  <c r="Q112" i="50"/>
  <c r="P112" i="50"/>
  <c r="Q111" i="50"/>
  <c r="P111" i="50"/>
  <c r="Q110" i="50"/>
  <c r="P110" i="50"/>
  <c r="N110" i="50"/>
  <c r="N2" i="50"/>
  <c r="L126" i="51"/>
  <c r="K126" i="51"/>
  <c r="I126" i="51"/>
  <c r="G126" i="51"/>
  <c r="F126" i="51"/>
  <c r="E126" i="51"/>
  <c r="D126" i="51"/>
  <c r="C126" i="51"/>
  <c r="B126" i="51"/>
  <c r="K125" i="51"/>
  <c r="J125" i="51"/>
  <c r="I125" i="51"/>
  <c r="H125" i="51"/>
  <c r="G125" i="51"/>
  <c r="F125" i="51"/>
  <c r="E125" i="51"/>
  <c r="D125" i="51"/>
  <c r="C125" i="51"/>
  <c r="B125" i="51"/>
  <c r="K124" i="51"/>
  <c r="I124" i="51"/>
  <c r="H124" i="51"/>
  <c r="G124" i="51"/>
  <c r="F124" i="51"/>
  <c r="E124" i="51"/>
  <c r="D124" i="51"/>
  <c r="C124" i="51"/>
  <c r="B124" i="51"/>
  <c r="K123" i="51"/>
  <c r="I123" i="51"/>
  <c r="H123" i="51"/>
  <c r="G123" i="51"/>
  <c r="F123" i="51"/>
  <c r="E123" i="51"/>
  <c r="D123" i="51"/>
  <c r="C123" i="51"/>
  <c r="B123" i="51"/>
  <c r="K122" i="51"/>
  <c r="J122" i="51"/>
  <c r="I122" i="51"/>
  <c r="H122" i="51"/>
  <c r="G122" i="51"/>
  <c r="F122" i="51"/>
  <c r="E122" i="51"/>
  <c r="D122" i="51"/>
  <c r="C122" i="51"/>
  <c r="B122" i="51"/>
  <c r="K121" i="51"/>
  <c r="J121" i="51"/>
  <c r="I121" i="51"/>
  <c r="H121" i="51"/>
  <c r="G121" i="51"/>
  <c r="F121" i="51"/>
  <c r="E121" i="51"/>
  <c r="D121" i="51"/>
  <c r="C121" i="51"/>
  <c r="B121" i="51"/>
  <c r="K120" i="51"/>
  <c r="J120" i="51"/>
  <c r="I120" i="51"/>
  <c r="H120" i="51"/>
  <c r="G120" i="51"/>
  <c r="F120" i="51"/>
  <c r="E120" i="51"/>
  <c r="D120" i="51"/>
  <c r="C120" i="51"/>
  <c r="B120" i="51"/>
  <c r="K119" i="51"/>
  <c r="I119" i="51"/>
  <c r="H119" i="51"/>
  <c r="G119" i="51"/>
  <c r="F119" i="51"/>
  <c r="E119" i="51"/>
  <c r="D119" i="51"/>
  <c r="C119" i="51"/>
  <c r="B119" i="51"/>
  <c r="L118" i="51"/>
  <c r="K118" i="51"/>
  <c r="I118" i="51"/>
  <c r="H118" i="51"/>
  <c r="G118" i="51"/>
  <c r="F118" i="51"/>
  <c r="E118" i="51"/>
  <c r="D118" i="51"/>
  <c r="C118" i="51"/>
  <c r="B118" i="51"/>
  <c r="K117" i="51"/>
  <c r="I117" i="51"/>
  <c r="H117" i="51"/>
  <c r="G117" i="51"/>
  <c r="F117" i="51"/>
  <c r="E117" i="51"/>
  <c r="D117" i="51"/>
  <c r="C117" i="51"/>
  <c r="B117" i="51"/>
  <c r="K116" i="51"/>
  <c r="I116" i="51"/>
  <c r="H116" i="51"/>
  <c r="G116" i="51"/>
  <c r="F116" i="51"/>
  <c r="E116" i="51"/>
  <c r="D116" i="51"/>
  <c r="C116" i="51"/>
  <c r="B116" i="51"/>
  <c r="K115" i="51"/>
  <c r="I115" i="51"/>
  <c r="H115" i="51"/>
  <c r="G115" i="51"/>
  <c r="F115" i="51"/>
  <c r="E115" i="51"/>
  <c r="D115" i="51"/>
  <c r="C115" i="51"/>
  <c r="B115" i="51"/>
  <c r="K114" i="51"/>
  <c r="I114" i="51"/>
  <c r="H114" i="51"/>
  <c r="G114" i="51"/>
  <c r="F114" i="51"/>
  <c r="E114" i="51"/>
  <c r="D114" i="51"/>
  <c r="C114" i="51"/>
  <c r="B114" i="51"/>
  <c r="K113" i="51"/>
  <c r="I113" i="51"/>
  <c r="H113" i="51"/>
  <c r="G113" i="51"/>
  <c r="F113" i="51"/>
  <c r="E113" i="51"/>
  <c r="D113" i="51"/>
  <c r="C113" i="51"/>
  <c r="B113" i="51"/>
  <c r="K112" i="51"/>
  <c r="I112" i="51"/>
  <c r="H112" i="51"/>
  <c r="G112" i="51"/>
  <c r="F112" i="51"/>
  <c r="E112" i="51"/>
  <c r="D112" i="51"/>
  <c r="C112" i="51"/>
  <c r="B112" i="51"/>
  <c r="K111" i="51"/>
  <c r="J111" i="51"/>
  <c r="I111" i="51"/>
  <c r="H111" i="51"/>
  <c r="G111" i="51"/>
  <c r="F111" i="51"/>
  <c r="E111" i="51"/>
  <c r="D111" i="51"/>
  <c r="C111" i="51"/>
  <c r="B111" i="51"/>
  <c r="K110" i="51"/>
  <c r="J110" i="51"/>
  <c r="I110" i="51"/>
  <c r="H110" i="51"/>
  <c r="G110" i="51"/>
  <c r="F110" i="51"/>
  <c r="E110" i="51"/>
  <c r="D110" i="51"/>
  <c r="C110" i="51"/>
  <c r="B110" i="51"/>
  <c r="L109" i="51"/>
  <c r="J109" i="51"/>
  <c r="I109" i="51"/>
  <c r="H109" i="51"/>
  <c r="G109" i="51"/>
  <c r="F109" i="51"/>
  <c r="E109" i="51"/>
  <c r="D109" i="51"/>
  <c r="C109" i="51"/>
  <c r="B109" i="51"/>
  <c r="K108" i="51"/>
  <c r="J108" i="51"/>
  <c r="I108" i="51"/>
  <c r="H108" i="51"/>
  <c r="G108" i="51"/>
  <c r="F108" i="51"/>
  <c r="E108" i="51"/>
  <c r="D108" i="51"/>
  <c r="C108" i="51"/>
  <c r="B108" i="51"/>
  <c r="L107" i="51"/>
  <c r="I107" i="51"/>
  <c r="G107" i="51"/>
  <c r="F107" i="51"/>
  <c r="E107" i="51"/>
  <c r="D107" i="51"/>
  <c r="C107" i="51"/>
  <c r="B107" i="51"/>
  <c r="L106" i="51"/>
  <c r="K106" i="51"/>
  <c r="I106" i="51"/>
  <c r="G106" i="51"/>
  <c r="F106" i="51"/>
  <c r="E106" i="51"/>
  <c r="D106" i="51"/>
  <c r="C106" i="51"/>
  <c r="B106" i="51"/>
  <c r="L105" i="51"/>
  <c r="K105" i="51"/>
  <c r="I105" i="51"/>
  <c r="G105" i="51"/>
  <c r="F105" i="51"/>
  <c r="E105" i="51"/>
  <c r="D105" i="51"/>
  <c r="C105" i="51"/>
  <c r="B105" i="51"/>
  <c r="J98" i="51"/>
  <c r="I98" i="51"/>
  <c r="H98" i="51"/>
  <c r="G98" i="51"/>
  <c r="F98" i="51"/>
  <c r="E98" i="51"/>
  <c r="D98" i="51"/>
  <c r="C98" i="51"/>
  <c r="B98" i="51"/>
  <c r="I103" i="51"/>
  <c r="G103" i="51"/>
  <c r="F103" i="51"/>
  <c r="E103" i="51"/>
  <c r="D103" i="51"/>
  <c r="C103" i="51"/>
  <c r="B103" i="51"/>
  <c r="L102" i="51"/>
  <c r="I102" i="51"/>
  <c r="G102" i="51"/>
  <c r="F102" i="51"/>
  <c r="E102" i="51"/>
  <c r="D102" i="51"/>
  <c r="C102" i="51"/>
  <c r="B102" i="51"/>
  <c r="L101" i="51"/>
  <c r="K101" i="51"/>
  <c r="I101" i="51"/>
  <c r="G101" i="51"/>
  <c r="F101" i="51"/>
  <c r="E101" i="51"/>
  <c r="D101" i="51"/>
  <c r="C101" i="51"/>
  <c r="B101" i="51"/>
  <c r="J97" i="51"/>
  <c r="I97" i="51"/>
  <c r="H97" i="51"/>
  <c r="G97" i="51"/>
  <c r="F97" i="51"/>
  <c r="E97" i="51"/>
  <c r="D97" i="51"/>
  <c r="C97" i="51"/>
  <c r="B97" i="51"/>
  <c r="I96" i="51"/>
  <c r="G96" i="51"/>
  <c r="F96" i="51"/>
  <c r="E96" i="51"/>
  <c r="D96" i="51"/>
  <c r="C96" i="51"/>
  <c r="B96" i="51"/>
  <c r="I95" i="51"/>
  <c r="G95" i="51"/>
  <c r="F95" i="51"/>
  <c r="E95" i="51"/>
  <c r="D95" i="51"/>
  <c r="C95" i="51"/>
  <c r="B95" i="51"/>
  <c r="I93" i="51"/>
  <c r="G93" i="51"/>
  <c r="F93" i="51"/>
  <c r="E93" i="51"/>
  <c r="D93" i="51"/>
  <c r="C93" i="51"/>
  <c r="B93" i="51"/>
  <c r="I92" i="51"/>
  <c r="G92" i="51"/>
  <c r="F92" i="51"/>
  <c r="E92" i="51"/>
  <c r="D92" i="51"/>
  <c r="C92" i="51"/>
  <c r="B92" i="51"/>
  <c r="L91" i="51"/>
  <c r="I91" i="51"/>
  <c r="G91" i="51"/>
  <c r="F91" i="51"/>
  <c r="E91" i="51"/>
  <c r="D91" i="51"/>
  <c r="C91" i="51"/>
  <c r="B91" i="51"/>
  <c r="I89" i="51"/>
  <c r="G89" i="51"/>
  <c r="F89" i="51"/>
  <c r="E89" i="51"/>
  <c r="D89" i="51"/>
  <c r="C89" i="51"/>
  <c r="B89" i="51"/>
  <c r="J88" i="51"/>
  <c r="I88" i="51"/>
  <c r="G88" i="51"/>
  <c r="F88" i="51"/>
  <c r="E88" i="51"/>
  <c r="D88" i="51"/>
  <c r="C88" i="51"/>
  <c r="B88" i="51"/>
  <c r="J87" i="51"/>
  <c r="I87" i="51"/>
  <c r="G87" i="51"/>
  <c r="F87" i="51"/>
  <c r="E87" i="51"/>
  <c r="D87" i="51"/>
  <c r="C87" i="51"/>
  <c r="B87" i="51"/>
  <c r="I86" i="51"/>
  <c r="G86" i="51"/>
  <c r="F86" i="51"/>
  <c r="E86" i="51"/>
  <c r="D86" i="51"/>
  <c r="C86" i="51"/>
  <c r="B86" i="51"/>
  <c r="I85" i="51"/>
  <c r="G85" i="51"/>
  <c r="F85" i="51"/>
  <c r="E85" i="51"/>
  <c r="D85" i="51"/>
  <c r="C85" i="51"/>
  <c r="B85" i="51"/>
  <c r="J84" i="51"/>
  <c r="I84" i="51"/>
  <c r="G84" i="51"/>
  <c r="F84" i="51"/>
  <c r="E84" i="51"/>
  <c r="D84" i="51"/>
  <c r="C84" i="51"/>
  <c r="B84" i="51"/>
  <c r="I83" i="51"/>
  <c r="G83" i="51"/>
  <c r="F83" i="51"/>
  <c r="E83" i="51"/>
  <c r="D83" i="51"/>
  <c r="C83" i="51"/>
  <c r="B83" i="51"/>
  <c r="M73" i="51"/>
  <c r="L73" i="51"/>
  <c r="K73" i="51"/>
  <c r="J73" i="51"/>
  <c r="I73" i="51"/>
  <c r="G73" i="51"/>
  <c r="F73" i="51"/>
  <c r="E73" i="51"/>
  <c r="D73" i="51"/>
  <c r="C73" i="51"/>
  <c r="B73" i="51"/>
  <c r="L72" i="51"/>
  <c r="J72" i="51"/>
  <c r="I72" i="51"/>
  <c r="G72" i="51"/>
  <c r="F72" i="51"/>
  <c r="E72" i="51"/>
  <c r="D72" i="51"/>
  <c r="C72" i="51"/>
  <c r="B72" i="51"/>
  <c r="L71" i="51"/>
  <c r="J71" i="51"/>
  <c r="I71" i="51"/>
  <c r="G71" i="51"/>
  <c r="F71" i="51"/>
  <c r="E71" i="51"/>
  <c r="D71" i="51"/>
  <c r="C71" i="51"/>
  <c r="B71" i="51"/>
  <c r="L70" i="51"/>
  <c r="J70" i="51"/>
  <c r="I70" i="51"/>
  <c r="G70" i="51"/>
  <c r="F70" i="51"/>
  <c r="E70" i="51"/>
  <c r="D70" i="51"/>
  <c r="C70" i="51"/>
  <c r="B70" i="51"/>
  <c r="L69" i="51"/>
  <c r="J69" i="51"/>
  <c r="I69" i="51"/>
  <c r="G69" i="51"/>
  <c r="F69" i="51"/>
  <c r="E69" i="51"/>
  <c r="D69" i="51"/>
  <c r="C69" i="51"/>
  <c r="B69" i="51"/>
  <c r="L68" i="51"/>
  <c r="J68" i="51"/>
  <c r="I68" i="51"/>
  <c r="H68" i="51"/>
  <c r="G68" i="51"/>
  <c r="F68" i="51"/>
  <c r="E68" i="51"/>
  <c r="D68" i="51"/>
  <c r="C68" i="51"/>
  <c r="B68" i="51"/>
  <c r="L67" i="51"/>
  <c r="J67" i="51"/>
  <c r="I67" i="51"/>
  <c r="G67" i="51"/>
  <c r="F67" i="51"/>
  <c r="E67" i="51"/>
  <c r="D67" i="51"/>
  <c r="C67" i="51"/>
  <c r="B67" i="51"/>
  <c r="L56" i="51"/>
  <c r="J56" i="51"/>
  <c r="I56" i="51"/>
  <c r="H56" i="51"/>
  <c r="G56" i="51"/>
  <c r="F56" i="51"/>
  <c r="E56" i="51"/>
  <c r="D56" i="51"/>
  <c r="C56" i="51"/>
  <c r="B56" i="51"/>
  <c r="L55" i="51"/>
  <c r="J55" i="51"/>
  <c r="I55" i="51"/>
  <c r="H55" i="51"/>
  <c r="G55" i="51"/>
  <c r="F55" i="51"/>
  <c r="E55" i="51"/>
  <c r="D55" i="51"/>
  <c r="C55" i="51"/>
  <c r="B55" i="51"/>
  <c r="L54" i="51"/>
  <c r="J54" i="51"/>
  <c r="I54" i="51"/>
  <c r="G54" i="51"/>
  <c r="F54" i="51"/>
  <c r="D54" i="51"/>
  <c r="C54" i="51"/>
  <c r="B54" i="51"/>
  <c r="L53" i="51"/>
  <c r="I53" i="51"/>
  <c r="G53" i="51"/>
  <c r="F53" i="51"/>
  <c r="E53" i="51"/>
  <c r="D53" i="51"/>
  <c r="C53" i="51"/>
  <c r="B53" i="51"/>
  <c r="L52" i="51"/>
  <c r="I52" i="51"/>
  <c r="G52" i="51"/>
  <c r="F52" i="51"/>
  <c r="E52" i="51"/>
  <c r="D52" i="51"/>
  <c r="C52" i="51"/>
  <c r="B52" i="51"/>
  <c r="L51" i="51"/>
  <c r="I51" i="51"/>
  <c r="G51" i="51"/>
  <c r="F51" i="51"/>
  <c r="E51" i="51"/>
  <c r="D51" i="51"/>
  <c r="C51" i="51"/>
  <c r="B51" i="51"/>
  <c r="L50" i="51"/>
  <c r="J50" i="51"/>
  <c r="I50" i="51"/>
  <c r="G50" i="51"/>
  <c r="F50" i="51"/>
  <c r="E50" i="51"/>
  <c r="D50" i="51"/>
  <c r="C50" i="51"/>
  <c r="B50" i="51"/>
  <c r="L49" i="51"/>
  <c r="J49" i="51"/>
  <c r="I49" i="51"/>
  <c r="G49" i="51"/>
  <c r="F49" i="51"/>
  <c r="E49" i="51"/>
  <c r="D49" i="51"/>
  <c r="C49" i="51"/>
  <c r="B49" i="51"/>
  <c r="L48" i="51"/>
  <c r="I48" i="51"/>
  <c r="G48" i="51"/>
  <c r="F48" i="51"/>
  <c r="E48" i="51"/>
  <c r="D48" i="51"/>
  <c r="C48" i="51"/>
  <c r="B48" i="51"/>
  <c r="L47" i="51"/>
  <c r="I47" i="51"/>
  <c r="G47" i="51"/>
  <c r="F47" i="51"/>
  <c r="E47" i="51"/>
  <c r="D47" i="51"/>
  <c r="C47" i="51"/>
  <c r="B47" i="51"/>
  <c r="L46" i="51"/>
  <c r="I46" i="51"/>
  <c r="G46" i="51"/>
  <c r="F46" i="51"/>
  <c r="E46" i="51"/>
  <c r="D46" i="51"/>
  <c r="C46" i="51"/>
  <c r="B46" i="51"/>
  <c r="L45" i="51"/>
  <c r="J45" i="51"/>
  <c r="I45" i="51"/>
  <c r="G45" i="51"/>
  <c r="F45" i="51"/>
  <c r="E45" i="51"/>
  <c r="D45" i="51"/>
  <c r="C45" i="51"/>
  <c r="B45" i="51"/>
  <c r="L44" i="51"/>
  <c r="J44" i="51"/>
  <c r="I44" i="51"/>
  <c r="G44" i="51"/>
  <c r="F44" i="51"/>
  <c r="E44" i="51"/>
  <c r="D44" i="51"/>
  <c r="C44" i="51"/>
  <c r="B44" i="51"/>
  <c r="L43" i="51"/>
  <c r="J43" i="51"/>
  <c r="I43" i="51"/>
  <c r="G43" i="51"/>
  <c r="F43" i="51"/>
  <c r="E43" i="51"/>
  <c r="D43" i="51"/>
  <c r="C43" i="51"/>
  <c r="B43" i="51"/>
  <c r="L42" i="51"/>
  <c r="I42" i="51"/>
  <c r="G42" i="51"/>
  <c r="F42" i="51"/>
  <c r="E42" i="51"/>
  <c r="D42" i="51"/>
  <c r="C42" i="51"/>
  <c r="B42" i="51"/>
  <c r="L41" i="51"/>
  <c r="I41" i="51"/>
  <c r="G41" i="51"/>
  <c r="F41" i="51"/>
  <c r="E41" i="51"/>
  <c r="D41" i="51"/>
  <c r="C41" i="51"/>
  <c r="B41" i="51"/>
  <c r="L40" i="51"/>
  <c r="I40" i="51"/>
  <c r="G40" i="51"/>
  <c r="F40" i="51"/>
  <c r="E40" i="51"/>
  <c r="D40" i="51"/>
  <c r="C40" i="51"/>
  <c r="B40" i="51"/>
  <c r="L39" i="51"/>
  <c r="I39" i="51"/>
  <c r="G39" i="51"/>
  <c r="F39" i="51"/>
  <c r="E39" i="51"/>
  <c r="D39" i="51"/>
  <c r="C39" i="51"/>
  <c r="B39" i="51"/>
  <c r="I38" i="51"/>
  <c r="G38" i="51"/>
  <c r="F38" i="51"/>
  <c r="E38" i="51"/>
  <c r="D38" i="51"/>
  <c r="C38" i="51"/>
  <c r="B38" i="51"/>
  <c r="I37" i="51"/>
  <c r="G37" i="51"/>
  <c r="F37" i="51"/>
  <c r="E37" i="51"/>
  <c r="D37" i="51"/>
  <c r="C37" i="51"/>
  <c r="B37" i="51"/>
  <c r="I36" i="51"/>
  <c r="G36" i="51"/>
  <c r="F36" i="51"/>
  <c r="E36" i="51"/>
  <c r="D36" i="51"/>
  <c r="C36" i="51"/>
  <c r="B36" i="51"/>
  <c r="I35" i="51"/>
  <c r="G35" i="51"/>
  <c r="F35" i="51"/>
  <c r="E35" i="51"/>
  <c r="D35" i="51"/>
  <c r="C35" i="51"/>
  <c r="B35" i="51"/>
  <c r="L34" i="51"/>
  <c r="I34" i="51"/>
  <c r="G34" i="51"/>
  <c r="F34" i="51"/>
  <c r="E34" i="51"/>
  <c r="D34" i="51"/>
  <c r="C34" i="51"/>
  <c r="B34" i="51"/>
  <c r="L33" i="51"/>
  <c r="I33" i="51"/>
  <c r="G33" i="51"/>
  <c r="F33" i="51"/>
  <c r="E33" i="51"/>
  <c r="D33" i="51"/>
  <c r="C33" i="51"/>
  <c r="B33" i="51"/>
  <c r="K32" i="51"/>
  <c r="I32" i="51"/>
  <c r="G32" i="51"/>
  <c r="F32" i="51"/>
  <c r="E32" i="51"/>
  <c r="D32" i="51"/>
  <c r="C32" i="51"/>
  <c r="B32" i="51"/>
  <c r="L31" i="51"/>
  <c r="K31" i="51"/>
  <c r="I31" i="51"/>
  <c r="G31" i="51"/>
  <c r="F31" i="51"/>
  <c r="E31" i="51"/>
  <c r="D31" i="51"/>
  <c r="C31" i="51"/>
  <c r="B31" i="51"/>
  <c r="L21" i="51"/>
  <c r="K21" i="51"/>
  <c r="I21" i="51"/>
  <c r="G21" i="51"/>
  <c r="F21" i="51"/>
  <c r="E21" i="51"/>
  <c r="D21" i="51"/>
  <c r="C21" i="51"/>
  <c r="B21" i="51"/>
  <c r="L20" i="51"/>
  <c r="K20" i="51"/>
  <c r="I20" i="51"/>
  <c r="G20" i="51"/>
  <c r="F20" i="51"/>
  <c r="E20" i="51"/>
  <c r="D20" i="51"/>
  <c r="C20" i="51"/>
  <c r="B20" i="51"/>
  <c r="L19" i="51"/>
  <c r="K19" i="51"/>
  <c r="I19" i="51"/>
  <c r="G19" i="51"/>
  <c r="F19" i="51"/>
  <c r="E19" i="51"/>
  <c r="D19" i="51"/>
  <c r="C19" i="51"/>
  <c r="B19" i="51"/>
  <c r="L18" i="51"/>
  <c r="K18" i="51"/>
  <c r="I18" i="51"/>
  <c r="G18" i="51"/>
  <c r="F18" i="51"/>
  <c r="E18" i="51"/>
  <c r="D18" i="51"/>
  <c r="C18" i="51"/>
  <c r="B18" i="51"/>
  <c r="L17" i="51"/>
  <c r="K17" i="51"/>
  <c r="I17" i="51"/>
  <c r="G17" i="51"/>
  <c r="F17" i="51"/>
  <c r="E17" i="51"/>
  <c r="D17" i="51"/>
  <c r="C17" i="51"/>
  <c r="B17" i="51"/>
  <c r="L16" i="51"/>
  <c r="I16" i="51"/>
  <c r="G16" i="51"/>
  <c r="F16" i="51"/>
  <c r="E16" i="51"/>
  <c r="D16" i="51"/>
  <c r="C16" i="51"/>
  <c r="B16" i="51"/>
  <c r="L15" i="51"/>
  <c r="I15" i="51"/>
  <c r="G15" i="51"/>
  <c r="F15" i="51"/>
  <c r="E15" i="51"/>
  <c r="D15" i="51"/>
  <c r="C15" i="51"/>
  <c r="B15" i="51"/>
  <c r="L14" i="51"/>
  <c r="K14" i="51"/>
  <c r="I14" i="51"/>
  <c r="G14" i="51"/>
  <c r="F14" i="51"/>
  <c r="E14" i="51"/>
  <c r="D14" i="51"/>
  <c r="C14" i="51"/>
  <c r="B14" i="51"/>
  <c r="L13" i="51"/>
  <c r="K13" i="51"/>
  <c r="I13" i="51"/>
  <c r="G13" i="51"/>
  <c r="F13" i="51"/>
  <c r="E13" i="51"/>
  <c r="D13" i="51"/>
  <c r="C13" i="51"/>
  <c r="B13" i="51"/>
  <c r="L7" i="51"/>
  <c r="K7" i="51"/>
  <c r="I7" i="51"/>
  <c r="G7" i="51"/>
  <c r="F7" i="51"/>
  <c r="E7" i="51"/>
  <c r="D7" i="51"/>
  <c r="C7" i="51"/>
  <c r="B7" i="51"/>
  <c r="L6" i="51"/>
  <c r="K6" i="51"/>
  <c r="I6" i="51"/>
  <c r="G6" i="51"/>
  <c r="F6" i="51"/>
  <c r="E6" i="51"/>
  <c r="D6" i="51"/>
  <c r="C6" i="51"/>
  <c r="B6" i="51"/>
  <c r="L5" i="51"/>
  <c r="K5" i="51"/>
  <c r="I5" i="51"/>
  <c r="G5" i="51"/>
  <c r="F5" i="51"/>
  <c r="E5" i="51"/>
  <c r="D5" i="51"/>
  <c r="C5" i="51"/>
  <c r="B5" i="51"/>
  <c r="L4" i="51"/>
  <c r="I4" i="51"/>
  <c r="G4" i="51"/>
  <c r="F4" i="51"/>
  <c r="E4" i="51"/>
  <c r="D4" i="51"/>
  <c r="C4" i="51"/>
  <c r="B4" i="51"/>
  <c r="L3" i="51"/>
  <c r="K3" i="51"/>
  <c r="I3" i="51"/>
  <c r="G3" i="51"/>
  <c r="F3" i="51"/>
  <c r="E3" i="51"/>
  <c r="D3" i="51"/>
  <c r="C3" i="51"/>
  <c r="B3" i="51"/>
  <c r="L2" i="51"/>
  <c r="K2" i="51"/>
  <c r="I2" i="51"/>
  <c r="G2" i="51"/>
  <c r="F2" i="51"/>
  <c r="E2" i="51"/>
  <c r="D2" i="51"/>
  <c r="C2" i="51"/>
  <c r="B2" i="51"/>
  <c r="L126" i="50"/>
  <c r="K126" i="50"/>
  <c r="I126" i="50"/>
  <c r="G126" i="50"/>
  <c r="F126" i="50"/>
  <c r="E126" i="50"/>
  <c r="D126" i="50"/>
  <c r="C126" i="50"/>
  <c r="B126" i="50"/>
  <c r="K125" i="50"/>
  <c r="J125" i="50"/>
  <c r="I125" i="50"/>
  <c r="H125" i="50"/>
  <c r="G125" i="50"/>
  <c r="F125" i="50"/>
  <c r="E125" i="50"/>
  <c r="D125" i="50"/>
  <c r="C125" i="50"/>
  <c r="B125" i="50"/>
  <c r="K124" i="50"/>
  <c r="I124" i="50"/>
  <c r="H124" i="50"/>
  <c r="G124" i="50"/>
  <c r="F124" i="50"/>
  <c r="E124" i="50"/>
  <c r="D124" i="50"/>
  <c r="C124" i="50"/>
  <c r="B124" i="50"/>
  <c r="K123" i="50"/>
  <c r="I123" i="50"/>
  <c r="H123" i="50"/>
  <c r="G123" i="50"/>
  <c r="F123" i="50"/>
  <c r="E123" i="50"/>
  <c r="D123" i="50"/>
  <c r="C123" i="50"/>
  <c r="B123" i="50"/>
  <c r="K122" i="50"/>
  <c r="J122" i="50"/>
  <c r="I122" i="50"/>
  <c r="H122" i="50"/>
  <c r="G122" i="50"/>
  <c r="F122" i="50"/>
  <c r="E122" i="50"/>
  <c r="D122" i="50"/>
  <c r="C122" i="50"/>
  <c r="B122" i="50"/>
  <c r="K121" i="50"/>
  <c r="J121" i="50"/>
  <c r="I121" i="50"/>
  <c r="H121" i="50"/>
  <c r="G121" i="50"/>
  <c r="F121" i="50"/>
  <c r="E121" i="50"/>
  <c r="D121" i="50"/>
  <c r="C121" i="50"/>
  <c r="B121" i="50"/>
  <c r="K120" i="50"/>
  <c r="J120" i="50"/>
  <c r="I120" i="50"/>
  <c r="H120" i="50"/>
  <c r="G120" i="50"/>
  <c r="F120" i="50"/>
  <c r="E120" i="50"/>
  <c r="D120" i="50"/>
  <c r="C120" i="50"/>
  <c r="B120" i="50"/>
  <c r="K119" i="50"/>
  <c r="I119" i="50"/>
  <c r="H119" i="50"/>
  <c r="G119" i="50"/>
  <c r="F119" i="50"/>
  <c r="E119" i="50"/>
  <c r="D119" i="50"/>
  <c r="C119" i="50"/>
  <c r="B119" i="50"/>
  <c r="L118" i="50"/>
  <c r="K118" i="50"/>
  <c r="I118" i="50"/>
  <c r="H118" i="50"/>
  <c r="G118" i="50"/>
  <c r="F118" i="50"/>
  <c r="E118" i="50"/>
  <c r="D118" i="50"/>
  <c r="C118" i="50"/>
  <c r="B118" i="50"/>
  <c r="K117" i="50"/>
  <c r="I117" i="50"/>
  <c r="H117" i="50"/>
  <c r="G117" i="50"/>
  <c r="F117" i="50"/>
  <c r="E117" i="50"/>
  <c r="D117" i="50"/>
  <c r="C117" i="50"/>
  <c r="B117" i="50"/>
  <c r="K116" i="50"/>
  <c r="I116" i="50"/>
  <c r="H116" i="50"/>
  <c r="G116" i="50"/>
  <c r="F116" i="50"/>
  <c r="E116" i="50"/>
  <c r="D116" i="50"/>
  <c r="C116" i="50"/>
  <c r="B116" i="50"/>
  <c r="K115" i="50"/>
  <c r="I115" i="50"/>
  <c r="H115" i="50"/>
  <c r="G115" i="50"/>
  <c r="F115" i="50"/>
  <c r="E115" i="50"/>
  <c r="D115" i="50"/>
  <c r="C115" i="50"/>
  <c r="B115" i="50"/>
  <c r="K114" i="50"/>
  <c r="I114" i="50"/>
  <c r="H114" i="50"/>
  <c r="G114" i="50"/>
  <c r="F114" i="50"/>
  <c r="E114" i="50"/>
  <c r="D114" i="50"/>
  <c r="C114" i="50"/>
  <c r="B114" i="50"/>
  <c r="K113" i="50"/>
  <c r="I113" i="50"/>
  <c r="H113" i="50"/>
  <c r="G113" i="50"/>
  <c r="F113" i="50"/>
  <c r="E113" i="50"/>
  <c r="D113" i="50"/>
  <c r="C113" i="50"/>
  <c r="B113" i="50"/>
  <c r="K112" i="50"/>
  <c r="I112" i="50"/>
  <c r="H112" i="50"/>
  <c r="G112" i="50"/>
  <c r="F112" i="50"/>
  <c r="E112" i="50"/>
  <c r="D112" i="50"/>
  <c r="C112" i="50"/>
  <c r="B112" i="50"/>
  <c r="K111" i="50"/>
  <c r="J111" i="50"/>
  <c r="I111" i="50"/>
  <c r="H111" i="50"/>
  <c r="G111" i="50"/>
  <c r="F111" i="50"/>
  <c r="E111" i="50"/>
  <c r="D111" i="50"/>
  <c r="C111" i="50"/>
  <c r="B111" i="50"/>
  <c r="K110" i="50"/>
  <c r="J110" i="50"/>
  <c r="I110" i="50"/>
  <c r="H110" i="50"/>
  <c r="G110" i="50"/>
  <c r="F110" i="50"/>
  <c r="E110" i="50"/>
  <c r="D110" i="50"/>
  <c r="C110" i="50"/>
  <c r="B110" i="50"/>
  <c r="L109" i="50"/>
  <c r="J109" i="50"/>
  <c r="I109" i="50"/>
  <c r="H109" i="50"/>
  <c r="G109" i="50"/>
  <c r="F109" i="50"/>
  <c r="E109" i="50"/>
  <c r="D109" i="50"/>
  <c r="C109" i="50"/>
  <c r="B109" i="50"/>
  <c r="K108" i="50"/>
  <c r="J108" i="50"/>
  <c r="I108" i="50"/>
  <c r="H108" i="50"/>
  <c r="G108" i="50"/>
  <c r="F108" i="50"/>
  <c r="E108" i="50"/>
  <c r="D108" i="50"/>
  <c r="C108" i="50"/>
  <c r="B108" i="50"/>
  <c r="L107" i="50"/>
  <c r="I107" i="50"/>
  <c r="G107" i="50"/>
  <c r="F107" i="50"/>
  <c r="E107" i="50"/>
  <c r="D107" i="50"/>
  <c r="C107" i="50"/>
  <c r="B107" i="50"/>
  <c r="L106" i="50"/>
  <c r="K106" i="50"/>
  <c r="I106" i="50"/>
  <c r="G106" i="50"/>
  <c r="F106" i="50"/>
  <c r="E106" i="50"/>
  <c r="D106" i="50"/>
  <c r="C106" i="50"/>
  <c r="B106" i="50"/>
  <c r="L105" i="50"/>
  <c r="K105" i="50"/>
  <c r="I105" i="50"/>
  <c r="G105" i="50"/>
  <c r="F105" i="50"/>
  <c r="E105" i="50"/>
  <c r="D105" i="50"/>
  <c r="C105" i="50"/>
  <c r="B105" i="50"/>
  <c r="J98" i="50"/>
  <c r="I98" i="50"/>
  <c r="H98" i="50"/>
  <c r="G98" i="50"/>
  <c r="F98" i="50"/>
  <c r="E98" i="50"/>
  <c r="D98" i="50"/>
  <c r="C98" i="50"/>
  <c r="B98" i="50"/>
  <c r="I103" i="50"/>
  <c r="G103" i="50"/>
  <c r="F103" i="50"/>
  <c r="E103" i="50"/>
  <c r="D103" i="50"/>
  <c r="C103" i="50"/>
  <c r="B103" i="50"/>
  <c r="L102" i="50"/>
  <c r="I102" i="50"/>
  <c r="G102" i="50"/>
  <c r="F102" i="50"/>
  <c r="E102" i="50"/>
  <c r="D102" i="50"/>
  <c r="C102" i="50"/>
  <c r="B102" i="50"/>
  <c r="L101" i="50"/>
  <c r="K101" i="50"/>
  <c r="I101" i="50"/>
  <c r="G101" i="50"/>
  <c r="F101" i="50"/>
  <c r="E101" i="50"/>
  <c r="D101" i="50"/>
  <c r="C101" i="50"/>
  <c r="B101" i="50"/>
  <c r="J97" i="50"/>
  <c r="I97" i="50"/>
  <c r="H97" i="50"/>
  <c r="G97" i="50"/>
  <c r="F97" i="50"/>
  <c r="E97" i="50"/>
  <c r="D97" i="50"/>
  <c r="C97" i="50"/>
  <c r="B97" i="50"/>
  <c r="I96" i="50"/>
  <c r="G96" i="50"/>
  <c r="F96" i="50"/>
  <c r="E96" i="50"/>
  <c r="D96" i="50"/>
  <c r="C96" i="50"/>
  <c r="B96" i="50"/>
  <c r="I95" i="50"/>
  <c r="G95" i="50"/>
  <c r="F95" i="50"/>
  <c r="E95" i="50"/>
  <c r="D95" i="50"/>
  <c r="C95" i="50"/>
  <c r="B95" i="50"/>
  <c r="I93" i="50"/>
  <c r="G93" i="50"/>
  <c r="F93" i="50"/>
  <c r="E93" i="50"/>
  <c r="D93" i="50"/>
  <c r="C93" i="50"/>
  <c r="B93" i="50"/>
  <c r="I92" i="50"/>
  <c r="G92" i="50"/>
  <c r="F92" i="50"/>
  <c r="E92" i="50"/>
  <c r="D92" i="50"/>
  <c r="C92" i="50"/>
  <c r="B92" i="50"/>
  <c r="L91" i="50"/>
  <c r="I91" i="50"/>
  <c r="G91" i="50"/>
  <c r="F91" i="50"/>
  <c r="E91" i="50"/>
  <c r="D91" i="50"/>
  <c r="C91" i="50"/>
  <c r="B91" i="50"/>
  <c r="I89" i="50"/>
  <c r="G89" i="50"/>
  <c r="F89" i="50"/>
  <c r="E89" i="50"/>
  <c r="D89" i="50"/>
  <c r="C89" i="50"/>
  <c r="B89" i="50"/>
  <c r="J88" i="50"/>
  <c r="I88" i="50"/>
  <c r="G88" i="50"/>
  <c r="F88" i="50"/>
  <c r="E88" i="50"/>
  <c r="D88" i="50"/>
  <c r="C88" i="50"/>
  <c r="B88" i="50"/>
  <c r="J87" i="50"/>
  <c r="I87" i="50"/>
  <c r="G87" i="50"/>
  <c r="F87" i="50"/>
  <c r="E87" i="50"/>
  <c r="D87" i="50"/>
  <c r="C87" i="50"/>
  <c r="B87" i="50"/>
  <c r="I86" i="50"/>
  <c r="G86" i="50"/>
  <c r="F86" i="50"/>
  <c r="E86" i="50"/>
  <c r="D86" i="50"/>
  <c r="C86" i="50"/>
  <c r="B86" i="50"/>
  <c r="I85" i="50"/>
  <c r="G85" i="50"/>
  <c r="F85" i="50"/>
  <c r="E85" i="50"/>
  <c r="D85" i="50"/>
  <c r="C85" i="50"/>
  <c r="B85" i="50"/>
  <c r="J84" i="50"/>
  <c r="I84" i="50"/>
  <c r="G84" i="50"/>
  <c r="F84" i="50"/>
  <c r="E84" i="50"/>
  <c r="D84" i="50"/>
  <c r="C84" i="50"/>
  <c r="B84" i="50"/>
  <c r="I83" i="50"/>
  <c r="G83" i="50"/>
  <c r="F83" i="50"/>
  <c r="E83" i="50"/>
  <c r="D83" i="50"/>
  <c r="C83" i="50"/>
  <c r="B83" i="50"/>
  <c r="M73" i="50"/>
  <c r="L73" i="50"/>
  <c r="K73" i="50"/>
  <c r="J73" i="50"/>
  <c r="I73" i="50"/>
  <c r="G73" i="50"/>
  <c r="F73" i="50"/>
  <c r="E73" i="50"/>
  <c r="D73" i="50"/>
  <c r="C73" i="50"/>
  <c r="B73" i="50"/>
  <c r="L72" i="50"/>
  <c r="J72" i="50"/>
  <c r="I72" i="50"/>
  <c r="G72" i="50"/>
  <c r="F72" i="50"/>
  <c r="E72" i="50"/>
  <c r="D72" i="50"/>
  <c r="C72" i="50"/>
  <c r="B72" i="50"/>
  <c r="L71" i="50"/>
  <c r="J71" i="50"/>
  <c r="I71" i="50"/>
  <c r="G71" i="50"/>
  <c r="F71" i="50"/>
  <c r="E71" i="50"/>
  <c r="D71" i="50"/>
  <c r="C71" i="50"/>
  <c r="B71" i="50"/>
  <c r="L70" i="50"/>
  <c r="J70" i="50"/>
  <c r="I70" i="50"/>
  <c r="G70" i="50"/>
  <c r="F70" i="50"/>
  <c r="E70" i="50"/>
  <c r="D70" i="50"/>
  <c r="C70" i="50"/>
  <c r="B70" i="50"/>
  <c r="L69" i="50"/>
  <c r="J69" i="50"/>
  <c r="I69" i="50"/>
  <c r="G69" i="50"/>
  <c r="F69" i="50"/>
  <c r="E69" i="50"/>
  <c r="D69" i="50"/>
  <c r="C69" i="50"/>
  <c r="B69" i="50"/>
  <c r="L68" i="50"/>
  <c r="J68" i="50"/>
  <c r="I68" i="50"/>
  <c r="H68" i="50"/>
  <c r="G68" i="50"/>
  <c r="F68" i="50"/>
  <c r="E68" i="50"/>
  <c r="D68" i="50"/>
  <c r="C68" i="50"/>
  <c r="B68" i="50"/>
  <c r="L67" i="50"/>
  <c r="J67" i="50"/>
  <c r="I67" i="50"/>
  <c r="G67" i="50"/>
  <c r="F67" i="50"/>
  <c r="E67" i="50"/>
  <c r="D67" i="50"/>
  <c r="C67" i="50"/>
  <c r="B67" i="50"/>
  <c r="L56" i="50"/>
  <c r="J56" i="50"/>
  <c r="I56" i="50"/>
  <c r="H56" i="50"/>
  <c r="G56" i="50"/>
  <c r="F56" i="50"/>
  <c r="E56" i="50"/>
  <c r="D56" i="50"/>
  <c r="C56" i="50"/>
  <c r="B56" i="50"/>
  <c r="L55" i="50"/>
  <c r="J55" i="50"/>
  <c r="I55" i="50"/>
  <c r="H55" i="50"/>
  <c r="G55" i="50"/>
  <c r="F55" i="50"/>
  <c r="E55" i="50"/>
  <c r="D55" i="50"/>
  <c r="C55" i="50"/>
  <c r="B55" i="50"/>
  <c r="L54" i="50"/>
  <c r="J54" i="50"/>
  <c r="I54" i="50"/>
  <c r="G54" i="50"/>
  <c r="F54" i="50"/>
  <c r="D54" i="50"/>
  <c r="C54" i="50"/>
  <c r="B54" i="50"/>
  <c r="L53" i="50"/>
  <c r="I53" i="50"/>
  <c r="G53" i="50"/>
  <c r="F53" i="50"/>
  <c r="E53" i="50"/>
  <c r="D53" i="50"/>
  <c r="C53" i="50"/>
  <c r="B53" i="50"/>
  <c r="L52" i="50"/>
  <c r="I52" i="50"/>
  <c r="G52" i="50"/>
  <c r="F52" i="50"/>
  <c r="E52" i="50"/>
  <c r="D52" i="50"/>
  <c r="C52" i="50"/>
  <c r="B52" i="50"/>
  <c r="L51" i="50"/>
  <c r="I51" i="50"/>
  <c r="G51" i="50"/>
  <c r="F51" i="50"/>
  <c r="E51" i="50"/>
  <c r="D51" i="50"/>
  <c r="C51" i="50"/>
  <c r="B51" i="50"/>
  <c r="L50" i="50"/>
  <c r="J50" i="50"/>
  <c r="I50" i="50"/>
  <c r="G50" i="50"/>
  <c r="F50" i="50"/>
  <c r="E50" i="50"/>
  <c r="D50" i="50"/>
  <c r="C50" i="50"/>
  <c r="B50" i="50"/>
  <c r="L49" i="50"/>
  <c r="J49" i="50"/>
  <c r="I49" i="50"/>
  <c r="G49" i="50"/>
  <c r="F49" i="50"/>
  <c r="E49" i="50"/>
  <c r="D49" i="50"/>
  <c r="C49" i="50"/>
  <c r="B49" i="50"/>
  <c r="L48" i="50"/>
  <c r="I48" i="50"/>
  <c r="G48" i="50"/>
  <c r="F48" i="50"/>
  <c r="E48" i="50"/>
  <c r="D48" i="50"/>
  <c r="C48" i="50"/>
  <c r="B48" i="50"/>
  <c r="L47" i="50"/>
  <c r="I47" i="50"/>
  <c r="G47" i="50"/>
  <c r="F47" i="50"/>
  <c r="E47" i="50"/>
  <c r="D47" i="50"/>
  <c r="C47" i="50"/>
  <c r="B47" i="50"/>
  <c r="L46" i="50"/>
  <c r="I46" i="50"/>
  <c r="G46" i="50"/>
  <c r="F46" i="50"/>
  <c r="E46" i="50"/>
  <c r="D46" i="50"/>
  <c r="C46" i="50"/>
  <c r="B46" i="50"/>
  <c r="L45" i="50"/>
  <c r="J45" i="50"/>
  <c r="I45" i="50"/>
  <c r="G45" i="50"/>
  <c r="F45" i="50"/>
  <c r="E45" i="50"/>
  <c r="D45" i="50"/>
  <c r="C45" i="50"/>
  <c r="B45" i="50"/>
  <c r="L44" i="50"/>
  <c r="J44" i="50"/>
  <c r="I44" i="50"/>
  <c r="G44" i="50"/>
  <c r="F44" i="50"/>
  <c r="E44" i="50"/>
  <c r="D44" i="50"/>
  <c r="C44" i="50"/>
  <c r="B44" i="50"/>
  <c r="L43" i="50"/>
  <c r="J43" i="50"/>
  <c r="I43" i="50"/>
  <c r="G43" i="50"/>
  <c r="F43" i="50"/>
  <c r="E43" i="50"/>
  <c r="D43" i="50"/>
  <c r="C43" i="50"/>
  <c r="B43" i="50"/>
  <c r="L42" i="50"/>
  <c r="I42" i="50"/>
  <c r="G42" i="50"/>
  <c r="F42" i="50"/>
  <c r="E42" i="50"/>
  <c r="D42" i="50"/>
  <c r="C42" i="50"/>
  <c r="B42" i="50"/>
  <c r="L41" i="50"/>
  <c r="I41" i="50"/>
  <c r="G41" i="50"/>
  <c r="F41" i="50"/>
  <c r="E41" i="50"/>
  <c r="D41" i="50"/>
  <c r="C41" i="50"/>
  <c r="B41" i="50"/>
  <c r="L40" i="50"/>
  <c r="I40" i="50"/>
  <c r="G40" i="50"/>
  <c r="F40" i="50"/>
  <c r="E40" i="50"/>
  <c r="D40" i="50"/>
  <c r="C40" i="50"/>
  <c r="B40" i="50"/>
  <c r="L39" i="50"/>
  <c r="I39" i="50"/>
  <c r="G39" i="50"/>
  <c r="F39" i="50"/>
  <c r="E39" i="50"/>
  <c r="D39" i="50"/>
  <c r="C39" i="50"/>
  <c r="B39" i="50"/>
  <c r="I38" i="50"/>
  <c r="G38" i="50"/>
  <c r="F38" i="50"/>
  <c r="E38" i="50"/>
  <c r="D38" i="50"/>
  <c r="C38" i="50"/>
  <c r="B38" i="50"/>
  <c r="I37" i="50"/>
  <c r="G37" i="50"/>
  <c r="F37" i="50"/>
  <c r="E37" i="50"/>
  <c r="D37" i="50"/>
  <c r="C37" i="50"/>
  <c r="B37" i="50"/>
  <c r="I36" i="50"/>
  <c r="G36" i="50"/>
  <c r="F36" i="50"/>
  <c r="E36" i="50"/>
  <c r="D36" i="50"/>
  <c r="C36" i="50"/>
  <c r="B36" i="50"/>
  <c r="I35" i="50"/>
  <c r="G35" i="50"/>
  <c r="F35" i="50"/>
  <c r="E35" i="50"/>
  <c r="D35" i="50"/>
  <c r="C35" i="50"/>
  <c r="B35" i="50"/>
  <c r="L34" i="50"/>
  <c r="I34" i="50"/>
  <c r="G34" i="50"/>
  <c r="F34" i="50"/>
  <c r="E34" i="50"/>
  <c r="D34" i="50"/>
  <c r="C34" i="50"/>
  <c r="B34" i="50"/>
  <c r="L33" i="50"/>
  <c r="I33" i="50"/>
  <c r="G33" i="50"/>
  <c r="F33" i="50"/>
  <c r="E33" i="50"/>
  <c r="D33" i="50"/>
  <c r="C33" i="50"/>
  <c r="B33" i="50"/>
  <c r="K32" i="50"/>
  <c r="I32" i="50"/>
  <c r="G32" i="50"/>
  <c r="F32" i="50"/>
  <c r="E32" i="50"/>
  <c r="D32" i="50"/>
  <c r="C32" i="50"/>
  <c r="B32" i="50"/>
  <c r="L31" i="50"/>
  <c r="K31" i="50"/>
  <c r="I31" i="50"/>
  <c r="G31" i="50"/>
  <c r="F31" i="50"/>
  <c r="E31" i="50"/>
  <c r="D31" i="50"/>
  <c r="C31" i="50"/>
  <c r="B31" i="50"/>
  <c r="L21" i="50"/>
  <c r="K21" i="50"/>
  <c r="I21" i="50"/>
  <c r="G21" i="50"/>
  <c r="F21" i="50"/>
  <c r="E21" i="50"/>
  <c r="D21" i="50"/>
  <c r="C21" i="50"/>
  <c r="B21" i="50"/>
  <c r="L20" i="50"/>
  <c r="K20" i="50"/>
  <c r="I20" i="50"/>
  <c r="G20" i="50"/>
  <c r="F20" i="50"/>
  <c r="E20" i="50"/>
  <c r="D20" i="50"/>
  <c r="C20" i="50"/>
  <c r="B20" i="50"/>
  <c r="L19" i="50"/>
  <c r="K19" i="50"/>
  <c r="I19" i="50"/>
  <c r="G19" i="50"/>
  <c r="F19" i="50"/>
  <c r="E19" i="50"/>
  <c r="D19" i="50"/>
  <c r="C19" i="50"/>
  <c r="B19" i="50"/>
  <c r="L18" i="50"/>
  <c r="K18" i="50"/>
  <c r="I18" i="50"/>
  <c r="G18" i="50"/>
  <c r="F18" i="50"/>
  <c r="E18" i="50"/>
  <c r="D18" i="50"/>
  <c r="C18" i="50"/>
  <c r="B18" i="50"/>
  <c r="L17" i="50"/>
  <c r="K17" i="50"/>
  <c r="I17" i="50"/>
  <c r="G17" i="50"/>
  <c r="F17" i="50"/>
  <c r="E17" i="50"/>
  <c r="D17" i="50"/>
  <c r="C17" i="50"/>
  <c r="B17" i="50"/>
  <c r="L16" i="50"/>
  <c r="I16" i="50"/>
  <c r="G16" i="50"/>
  <c r="F16" i="50"/>
  <c r="E16" i="50"/>
  <c r="D16" i="50"/>
  <c r="C16" i="50"/>
  <c r="B16" i="50"/>
  <c r="L15" i="50"/>
  <c r="I15" i="50"/>
  <c r="G15" i="50"/>
  <c r="F15" i="50"/>
  <c r="E15" i="50"/>
  <c r="D15" i="50"/>
  <c r="C15" i="50"/>
  <c r="B15" i="50"/>
  <c r="L14" i="50"/>
  <c r="K14" i="50"/>
  <c r="I14" i="50"/>
  <c r="G14" i="50"/>
  <c r="F14" i="50"/>
  <c r="E14" i="50"/>
  <c r="D14" i="50"/>
  <c r="C14" i="50"/>
  <c r="B14" i="50"/>
  <c r="L13" i="50"/>
  <c r="K13" i="50"/>
  <c r="I13" i="50"/>
  <c r="G13" i="50"/>
  <c r="F13" i="50"/>
  <c r="E13" i="50"/>
  <c r="D13" i="50"/>
  <c r="C13" i="50"/>
  <c r="B13" i="50"/>
  <c r="L7" i="50"/>
  <c r="K7" i="50"/>
  <c r="I7" i="50"/>
  <c r="G7" i="50"/>
  <c r="F7" i="50"/>
  <c r="E7" i="50"/>
  <c r="D7" i="50"/>
  <c r="C7" i="50"/>
  <c r="B7" i="50"/>
  <c r="L6" i="50"/>
  <c r="K6" i="50"/>
  <c r="I6" i="50"/>
  <c r="G6" i="50"/>
  <c r="F6" i="50"/>
  <c r="E6" i="50"/>
  <c r="D6" i="50"/>
  <c r="C6" i="50"/>
  <c r="B6" i="50"/>
  <c r="L5" i="50"/>
  <c r="K5" i="50"/>
  <c r="I5" i="50"/>
  <c r="G5" i="50"/>
  <c r="F5" i="50"/>
  <c r="E5" i="50"/>
  <c r="D5" i="50"/>
  <c r="C5" i="50"/>
  <c r="B5" i="50"/>
  <c r="L4" i="50"/>
  <c r="I4" i="50"/>
  <c r="G4" i="50"/>
  <c r="F4" i="50"/>
  <c r="E4" i="50"/>
  <c r="D4" i="50"/>
  <c r="C4" i="50"/>
  <c r="B4" i="50"/>
  <c r="L3" i="50"/>
  <c r="K3" i="50"/>
  <c r="I3" i="50"/>
  <c r="G3" i="50"/>
  <c r="F3" i="50"/>
  <c r="E3" i="50"/>
  <c r="D3" i="50"/>
  <c r="C3" i="50"/>
  <c r="B3" i="50"/>
  <c r="L2" i="50"/>
  <c r="K2" i="50"/>
  <c r="I2" i="50"/>
  <c r="G2" i="50"/>
  <c r="F2" i="50"/>
  <c r="E2" i="50"/>
  <c r="D2" i="50"/>
  <c r="C2" i="50"/>
  <c r="B2" i="50"/>
  <c r="Q53" i="51"/>
  <c r="P53" i="51"/>
  <c r="Q53" i="50"/>
  <c r="P53" i="50"/>
  <c r="AL115" i="50" l="1"/>
  <c r="AE115" i="50"/>
  <c r="AL121" i="50"/>
  <c r="AE121" i="50"/>
  <c r="AL110" i="50"/>
  <c r="AE110" i="50"/>
  <c r="AL112" i="50"/>
  <c r="AE112" i="50"/>
  <c r="AL116" i="50"/>
  <c r="AE116" i="50"/>
  <c r="AE119" i="50"/>
  <c r="AL124" i="50"/>
  <c r="AE124" i="50"/>
  <c r="AE123" i="50"/>
  <c r="AL113" i="50"/>
  <c r="AE113" i="50"/>
  <c r="AE117" i="50"/>
  <c r="AL120" i="50"/>
  <c r="AE120" i="50"/>
  <c r="AL122" i="50"/>
  <c r="AE122" i="50"/>
  <c r="AL125" i="50"/>
  <c r="AE125" i="50"/>
  <c r="AL126" i="50"/>
  <c r="AE126" i="50"/>
  <c r="AL111" i="50"/>
  <c r="AE111" i="50"/>
  <c r="AL114" i="50"/>
  <c r="AE114" i="50"/>
  <c r="AL118" i="50"/>
  <c r="AE118" i="50"/>
  <c r="BT110" i="50"/>
  <c r="BT112" i="50"/>
  <c r="BT114" i="50"/>
  <c r="BT116" i="50"/>
  <c r="BT118" i="50"/>
  <c r="BT124" i="50"/>
  <c r="BT126" i="50"/>
  <c r="BT53" i="50"/>
  <c r="BT122" i="50"/>
  <c r="AC53" i="50"/>
  <c r="AH53" i="50"/>
  <c r="AQ53" i="50"/>
  <c r="AZ53" i="50"/>
  <c r="BE53" i="50"/>
  <c r="BI53" i="50"/>
  <c r="BN53" i="50"/>
  <c r="BR53" i="50"/>
  <c r="AA53" i="50"/>
  <c r="AJ53" i="50"/>
  <c r="AO53" i="50"/>
  <c r="AS53" i="50"/>
  <c r="AX53" i="50"/>
  <c r="BB53" i="50"/>
  <c r="BG53" i="50"/>
  <c r="BP53" i="50"/>
  <c r="AF53" i="50"/>
  <c r="AP53" i="50"/>
  <c r="AY53" i="50"/>
  <c r="BH53" i="50"/>
  <c r="BQ53" i="50"/>
  <c r="AB53" i="50"/>
  <c r="AK53" i="50"/>
  <c r="AT53" i="50"/>
  <c r="BM53" i="50"/>
  <c r="AM53" i="50"/>
  <c r="BF53" i="50"/>
  <c r="AI53" i="50"/>
  <c r="BA53" i="50"/>
  <c r="BS53" i="50"/>
  <c r="AD53" i="50"/>
  <c r="BO53" i="50"/>
  <c r="BJ53" i="50"/>
  <c r="AR53" i="50"/>
  <c r="AW53" i="50"/>
  <c r="S110" i="50"/>
  <c r="W110" i="50"/>
  <c r="U110" i="50"/>
  <c r="Y110" i="50"/>
  <c r="X110" i="50"/>
  <c r="T110" i="50"/>
  <c r="V110" i="50"/>
  <c r="S112" i="50"/>
  <c r="W112" i="50"/>
  <c r="U112" i="50"/>
  <c r="Y112" i="50"/>
  <c r="X112" i="50"/>
  <c r="T112" i="50"/>
  <c r="V112" i="50"/>
  <c r="S114" i="50"/>
  <c r="W114" i="50"/>
  <c r="U114" i="50"/>
  <c r="Y114" i="50"/>
  <c r="X114" i="50"/>
  <c r="T114" i="50"/>
  <c r="V114" i="50"/>
  <c r="S116" i="50"/>
  <c r="W116" i="50"/>
  <c r="U116" i="50"/>
  <c r="Y116" i="50"/>
  <c r="X116" i="50"/>
  <c r="T116" i="50"/>
  <c r="V116" i="50"/>
  <c r="T118" i="50"/>
  <c r="X118" i="50"/>
  <c r="U118" i="50"/>
  <c r="Y118" i="50"/>
  <c r="V118" i="50"/>
  <c r="W118" i="50"/>
  <c r="T120" i="50"/>
  <c r="X120" i="50"/>
  <c r="U120" i="50"/>
  <c r="Y120" i="50"/>
  <c r="V120" i="50"/>
  <c r="S120" i="50"/>
  <c r="W120" i="50"/>
  <c r="T122" i="50"/>
  <c r="X122" i="50"/>
  <c r="U122" i="50"/>
  <c r="Y122" i="50"/>
  <c r="V122" i="50"/>
  <c r="S122" i="50"/>
  <c r="W122" i="50"/>
  <c r="T124" i="50"/>
  <c r="X124" i="50"/>
  <c r="U124" i="50"/>
  <c r="Y124" i="50"/>
  <c r="V124" i="50"/>
  <c r="S124" i="50"/>
  <c r="W124" i="50"/>
  <c r="T126" i="50"/>
  <c r="X126" i="50"/>
  <c r="U126" i="50"/>
  <c r="Y126" i="50"/>
  <c r="V126" i="50"/>
  <c r="W126" i="50"/>
  <c r="AB111" i="50"/>
  <c r="AF111" i="50"/>
  <c r="AK111" i="50"/>
  <c r="AP111" i="50"/>
  <c r="AT111" i="50"/>
  <c r="AY111" i="50"/>
  <c r="BC111" i="50"/>
  <c r="BH111" i="50"/>
  <c r="BM111" i="50"/>
  <c r="BQ111" i="50"/>
  <c r="AD111" i="50"/>
  <c r="AI111" i="50"/>
  <c r="AM111" i="50"/>
  <c r="AR111" i="50"/>
  <c r="AW111" i="50"/>
  <c r="BA111" i="50"/>
  <c r="BF111" i="50"/>
  <c r="BJ111" i="50"/>
  <c r="BO111" i="50"/>
  <c r="BS111" i="50"/>
  <c r="AH111" i="50"/>
  <c r="AQ111" i="50"/>
  <c r="AZ111" i="50"/>
  <c r="BI111" i="50"/>
  <c r="BR111" i="50"/>
  <c r="AC111" i="50"/>
  <c r="AU111" i="50"/>
  <c r="BE111" i="50"/>
  <c r="BN111" i="50"/>
  <c r="AA111" i="50"/>
  <c r="AS111" i="50"/>
  <c r="BK111" i="50"/>
  <c r="AX111" i="50"/>
  <c r="BP111" i="50"/>
  <c r="AJ111" i="50"/>
  <c r="BB111" i="50"/>
  <c r="AO111" i="50"/>
  <c r="BG111" i="50"/>
  <c r="AB113" i="50"/>
  <c r="AF113" i="50"/>
  <c r="AK113" i="50"/>
  <c r="AP113" i="50"/>
  <c r="AT113" i="50"/>
  <c r="AY113" i="50"/>
  <c r="BC113" i="50"/>
  <c r="BH113" i="50"/>
  <c r="BM113" i="50"/>
  <c r="BQ113" i="50"/>
  <c r="AD113" i="50"/>
  <c r="AI113" i="50"/>
  <c r="AM113" i="50"/>
  <c r="AR113" i="50"/>
  <c r="AW113" i="50"/>
  <c r="BA113" i="50"/>
  <c r="BF113" i="50"/>
  <c r="BJ113" i="50"/>
  <c r="BO113" i="50"/>
  <c r="BS113" i="50"/>
  <c r="AH113" i="50"/>
  <c r="AQ113" i="50"/>
  <c r="AZ113" i="50"/>
  <c r="BI113" i="50"/>
  <c r="BR113" i="50"/>
  <c r="AC113" i="50"/>
  <c r="AU113" i="50"/>
  <c r="BE113" i="50"/>
  <c r="BN113" i="50"/>
  <c r="AA113" i="50"/>
  <c r="AS113" i="50"/>
  <c r="BK113" i="50"/>
  <c r="AX113" i="50"/>
  <c r="BP113" i="50"/>
  <c r="AJ113" i="50"/>
  <c r="BB113" i="50"/>
  <c r="BG113" i="50"/>
  <c r="AO113" i="50"/>
  <c r="AB115" i="50"/>
  <c r="AF115" i="50"/>
  <c r="AK115" i="50"/>
  <c r="AP115" i="50"/>
  <c r="AT115" i="50"/>
  <c r="AY115" i="50"/>
  <c r="BC115" i="50"/>
  <c r="BH115" i="50"/>
  <c r="BM115" i="50"/>
  <c r="BQ115" i="50"/>
  <c r="AD115" i="50"/>
  <c r="AI115" i="50"/>
  <c r="AM115" i="50"/>
  <c r="AR115" i="50"/>
  <c r="AW115" i="50"/>
  <c r="BA115" i="50"/>
  <c r="BF115" i="50"/>
  <c r="BJ115" i="50"/>
  <c r="BO115" i="50"/>
  <c r="BS115" i="50"/>
  <c r="AH115" i="50"/>
  <c r="AQ115" i="50"/>
  <c r="AZ115" i="50"/>
  <c r="BI115" i="50"/>
  <c r="BR115" i="50"/>
  <c r="AC115" i="50"/>
  <c r="AU115" i="50"/>
  <c r="BE115" i="50"/>
  <c r="BN115" i="50"/>
  <c r="AA115" i="50"/>
  <c r="AS115" i="50"/>
  <c r="BK115" i="50"/>
  <c r="AX115" i="50"/>
  <c r="BP115" i="50"/>
  <c r="AJ115" i="50"/>
  <c r="BB115" i="50"/>
  <c r="AO115" i="50"/>
  <c r="BG115" i="50"/>
  <c r="AA117" i="50"/>
  <c r="AJ117" i="50"/>
  <c r="AC117" i="50"/>
  <c r="AH117" i="50"/>
  <c r="AQ117" i="50"/>
  <c r="AU117" i="50"/>
  <c r="AZ117" i="50"/>
  <c r="BE117" i="50"/>
  <c r="AB117" i="50"/>
  <c r="AK117" i="50"/>
  <c r="AR117" i="50"/>
  <c r="AX117" i="50"/>
  <c r="BC117" i="50"/>
  <c r="BI117" i="50"/>
  <c r="BN117" i="50"/>
  <c r="BR117" i="50"/>
  <c r="AD117" i="50"/>
  <c r="AM117" i="50"/>
  <c r="AS117" i="50"/>
  <c r="AY117" i="50"/>
  <c r="BF117" i="50"/>
  <c r="BJ117" i="50"/>
  <c r="BO117" i="50"/>
  <c r="BS117" i="50"/>
  <c r="AF117" i="50"/>
  <c r="AO117" i="50"/>
  <c r="AT117" i="50"/>
  <c r="BA117" i="50"/>
  <c r="BG117" i="50"/>
  <c r="BK117" i="50"/>
  <c r="BP117" i="50"/>
  <c r="BQ117" i="50"/>
  <c r="BB117" i="50"/>
  <c r="AI117" i="50"/>
  <c r="BH117" i="50"/>
  <c r="AP117" i="50"/>
  <c r="BM117" i="50"/>
  <c r="AC119" i="50"/>
  <c r="AH119" i="50"/>
  <c r="AQ119" i="50"/>
  <c r="AU119" i="50"/>
  <c r="AZ119" i="50"/>
  <c r="BE119" i="50"/>
  <c r="BI119" i="50"/>
  <c r="BN119" i="50"/>
  <c r="BR119" i="50"/>
  <c r="AD119" i="50"/>
  <c r="AI119" i="50"/>
  <c r="AM119" i="50"/>
  <c r="AR119" i="50"/>
  <c r="BA119" i="50"/>
  <c r="BF119" i="50"/>
  <c r="BJ119" i="50"/>
  <c r="BO119" i="50"/>
  <c r="BS119" i="50"/>
  <c r="AA119" i="50"/>
  <c r="AJ119" i="50"/>
  <c r="AO119" i="50"/>
  <c r="AS119" i="50"/>
  <c r="AX119" i="50"/>
  <c r="BB119" i="50"/>
  <c r="BG119" i="50"/>
  <c r="BK119" i="50"/>
  <c r="BP119" i="50"/>
  <c r="AF119" i="50"/>
  <c r="AY119" i="50"/>
  <c r="BQ119" i="50"/>
  <c r="BC119" i="50"/>
  <c r="AP119" i="50"/>
  <c r="BH119" i="50"/>
  <c r="BM119" i="50"/>
  <c r="AB119" i="50"/>
  <c r="AT119" i="50"/>
  <c r="AC121" i="50"/>
  <c r="AH121" i="50"/>
  <c r="AQ121" i="50"/>
  <c r="AU121" i="50"/>
  <c r="AZ121" i="50"/>
  <c r="BE121" i="50"/>
  <c r="BI121" i="50"/>
  <c r="BN121" i="50"/>
  <c r="BR121" i="50"/>
  <c r="AD121" i="50"/>
  <c r="AI121" i="50"/>
  <c r="AM121" i="50"/>
  <c r="AR121" i="50"/>
  <c r="AW121" i="50"/>
  <c r="BA121" i="50"/>
  <c r="BF121" i="50"/>
  <c r="BJ121" i="50"/>
  <c r="BO121" i="50"/>
  <c r="BS121" i="50"/>
  <c r="AA121" i="50"/>
  <c r="AJ121" i="50"/>
  <c r="AO121" i="50"/>
  <c r="AS121" i="50"/>
  <c r="AX121" i="50"/>
  <c r="BB121" i="50"/>
  <c r="BG121" i="50"/>
  <c r="BK121" i="50"/>
  <c r="BP121" i="50"/>
  <c r="AF121" i="50"/>
  <c r="AY121" i="50"/>
  <c r="BQ121" i="50"/>
  <c r="AK121" i="50"/>
  <c r="BC121" i="50"/>
  <c r="AP121" i="50"/>
  <c r="BH121" i="50"/>
  <c r="AB121" i="50"/>
  <c r="AT121" i="50"/>
  <c r="BM121" i="50"/>
  <c r="AC123" i="50"/>
  <c r="AH123" i="50"/>
  <c r="AQ123" i="50"/>
  <c r="AU123" i="50"/>
  <c r="AZ123" i="50"/>
  <c r="BE123" i="50"/>
  <c r="BI123" i="50"/>
  <c r="BN123" i="50"/>
  <c r="BR123" i="50"/>
  <c r="AD123" i="50"/>
  <c r="AI123" i="50"/>
  <c r="AM123" i="50"/>
  <c r="AR123" i="50"/>
  <c r="BA123" i="50"/>
  <c r="BF123" i="50"/>
  <c r="BJ123" i="50"/>
  <c r="BO123" i="50"/>
  <c r="AA123" i="50"/>
  <c r="AJ123" i="50"/>
  <c r="AO123" i="50"/>
  <c r="AS123" i="50"/>
  <c r="AX123" i="50"/>
  <c r="BB123" i="50"/>
  <c r="BG123" i="50"/>
  <c r="BK123" i="50"/>
  <c r="BP123" i="50"/>
  <c r="AF123" i="50"/>
  <c r="AY123" i="50"/>
  <c r="BQ123" i="50"/>
  <c r="AK123" i="50"/>
  <c r="BC123" i="50"/>
  <c r="BS123" i="50"/>
  <c r="AP123" i="50"/>
  <c r="BH123" i="50"/>
  <c r="BM123" i="50"/>
  <c r="AB123" i="50"/>
  <c r="AT123" i="50"/>
  <c r="AC125" i="50"/>
  <c r="AH125" i="50"/>
  <c r="AQ125" i="50"/>
  <c r="AU125" i="50"/>
  <c r="AZ125" i="50"/>
  <c r="BE125" i="50"/>
  <c r="BI125" i="50"/>
  <c r="BN125" i="50"/>
  <c r="BR125" i="50"/>
  <c r="AD125" i="50"/>
  <c r="AI125" i="50"/>
  <c r="AM125" i="50"/>
  <c r="AR125" i="50"/>
  <c r="AW125" i="50"/>
  <c r="BA125" i="50"/>
  <c r="BF125" i="50"/>
  <c r="BJ125" i="50"/>
  <c r="BO125" i="50"/>
  <c r="BS125" i="50"/>
  <c r="AA125" i="50"/>
  <c r="AJ125" i="50"/>
  <c r="AO125" i="50"/>
  <c r="AS125" i="50"/>
  <c r="AX125" i="50"/>
  <c r="BB125" i="50"/>
  <c r="BG125" i="50"/>
  <c r="BK125" i="50"/>
  <c r="BP125" i="50"/>
  <c r="AF125" i="50"/>
  <c r="AY125" i="50"/>
  <c r="BQ125" i="50"/>
  <c r="AK125" i="50"/>
  <c r="BC125" i="50"/>
  <c r="AP125" i="50"/>
  <c r="BH125" i="50"/>
  <c r="AB125" i="50"/>
  <c r="AT125" i="50"/>
  <c r="BM125" i="50"/>
  <c r="BT111" i="50"/>
  <c r="BT113" i="50"/>
  <c r="BT115" i="50"/>
  <c r="BT117" i="50"/>
  <c r="BT119" i="50"/>
  <c r="BT121" i="50"/>
  <c r="BT123" i="50"/>
  <c r="BT125" i="50"/>
  <c r="BT120" i="50"/>
  <c r="T53" i="50"/>
  <c r="X53" i="50"/>
  <c r="V53" i="50"/>
  <c r="W53" i="50"/>
  <c r="S53" i="50"/>
  <c r="U53" i="50"/>
  <c r="Y53" i="50"/>
  <c r="S111" i="50"/>
  <c r="W111" i="50"/>
  <c r="U111" i="50"/>
  <c r="Y111" i="50"/>
  <c r="X111" i="50"/>
  <c r="V111" i="50"/>
  <c r="S113" i="50"/>
  <c r="W113" i="50"/>
  <c r="U113" i="50"/>
  <c r="Y113" i="50"/>
  <c r="X113" i="50"/>
  <c r="T113" i="50"/>
  <c r="V113" i="50"/>
  <c r="S115" i="50"/>
  <c r="W115" i="50"/>
  <c r="U115" i="50"/>
  <c r="Y115" i="50"/>
  <c r="X115" i="50"/>
  <c r="T115" i="50"/>
  <c r="V115" i="50"/>
  <c r="V117" i="50"/>
  <c r="T117" i="50"/>
  <c r="X117" i="50"/>
  <c r="S117" i="50"/>
  <c r="U117" i="50"/>
  <c r="W117" i="50"/>
  <c r="Y117" i="50"/>
  <c r="T119" i="50"/>
  <c r="X119" i="50"/>
  <c r="U119" i="50"/>
  <c r="Y119" i="50"/>
  <c r="V119" i="50"/>
  <c r="S119" i="50"/>
  <c r="W119" i="50"/>
  <c r="T121" i="50"/>
  <c r="X121" i="50"/>
  <c r="U121" i="50"/>
  <c r="Y121" i="50"/>
  <c r="V121" i="50"/>
  <c r="S121" i="50"/>
  <c r="W121" i="50"/>
  <c r="T123" i="50"/>
  <c r="X123" i="50"/>
  <c r="U123" i="50"/>
  <c r="Y123" i="50"/>
  <c r="V123" i="50"/>
  <c r="S123" i="50"/>
  <c r="W123" i="50"/>
  <c r="T125" i="50"/>
  <c r="X125" i="50"/>
  <c r="U125" i="50"/>
  <c r="Y125" i="50"/>
  <c r="V125" i="50"/>
  <c r="S125" i="50"/>
  <c r="W125" i="50"/>
  <c r="AB110" i="50"/>
  <c r="AF110" i="50"/>
  <c r="AK110" i="50"/>
  <c r="AP110" i="50"/>
  <c r="AT110" i="50"/>
  <c r="AY110" i="50"/>
  <c r="BC110" i="50"/>
  <c r="BH110" i="50"/>
  <c r="BM110" i="50"/>
  <c r="BQ110" i="50"/>
  <c r="AD110" i="50"/>
  <c r="AI110" i="50"/>
  <c r="AM110" i="50"/>
  <c r="AR110" i="50"/>
  <c r="AW110" i="50"/>
  <c r="BA110" i="50"/>
  <c r="BF110" i="50"/>
  <c r="BJ110" i="50"/>
  <c r="BO110" i="50"/>
  <c r="BS110" i="50"/>
  <c r="AH110" i="50"/>
  <c r="AQ110" i="50"/>
  <c r="AZ110" i="50"/>
  <c r="BI110" i="50"/>
  <c r="BR110" i="50"/>
  <c r="AC110" i="50"/>
  <c r="AU110" i="50"/>
  <c r="BE110" i="50"/>
  <c r="BN110" i="50"/>
  <c r="AA110" i="50"/>
  <c r="AS110" i="50"/>
  <c r="BK110" i="50"/>
  <c r="AX110" i="50"/>
  <c r="BP110" i="50"/>
  <c r="AJ110" i="50"/>
  <c r="BB110" i="50"/>
  <c r="AO110" i="50"/>
  <c r="BG110" i="50"/>
  <c r="AB112" i="50"/>
  <c r="AF112" i="50"/>
  <c r="AK112" i="50"/>
  <c r="AP112" i="50"/>
  <c r="AT112" i="50"/>
  <c r="AY112" i="50"/>
  <c r="BC112" i="50"/>
  <c r="BH112" i="50"/>
  <c r="BM112" i="50"/>
  <c r="BQ112" i="50"/>
  <c r="AD112" i="50"/>
  <c r="AI112" i="50"/>
  <c r="AM112" i="50"/>
  <c r="AR112" i="50"/>
  <c r="AW112" i="50"/>
  <c r="BA112" i="50"/>
  <c r="BF112" i="50"/>
  <c r="BJ112" i="50"/>
  <c r="BO112" i="50"/>
  <c r="BS112" i="50"/>
  <c r="AH112" i="50"/>
  <c r="AQ112" i="50"/>
  <c r="AZ112" i="50"/>
  <c r="BI112" i="50"/>
  <c r="BR112" i="50"/>
  <c r="AC112" i="50"/>
  <c r="AU112" i="50"/>
  <c r="BE112" i="50"/>
  <c r="BN112" i="50"/>
  <c r="AA112" i="50"/>
  <c r="AS112" i="50"/>
  <c r="BK112" i="50"/>
  <c r="AX112" i="50"/>
  <c r="BP112" i="50"/>
  <c r="AJ112" i="50"/>
  <c r="BB112" i="50"/>
  <c r="AO112" i="50"/>
  <c r="BG112" i="50"/>
  <c r="AB114" i="50"/>
  <c r="AF114" i="50"/>
  <c r="AK114" i="50"/>
  <c r="AP114" i="50"/>
  <c r="AT114" i="50"/>
  <c r="AY114" i="50"/>
  <c r="BC114" i="50"/>
  <c r="BH114" i="50"/>
  <c r="BM114" i="50"/>
  <c r="BQ114" i="50"/>
  <c r="AD114" i="50"/>
  <c r="AI114" i="50"/>
  <c r="AM114" i="50"/>
  <c r="AR114" i="50"/>
  <c r="AW114" i="50"/>
  <c r="BA114" i="50"/>
  <c r="BF114" i="50"/>
  <c r="BJ114" i="50"/>
  <c r="BO114" i="50"/>
  <c r="BS114" i="50"/>
  <c r="AH114" i="50"/>
  <c r="AQ114" i="50"/>
  <c r="AZ114" i="50"/>
  <c r="BI114" i="50"/>
  <c r="BR114" i="50"/>
  <c r="AC114" i="50"/>
  <c r="AU114" i="50"/>
  <c r="BE114" i="50"/>
  <c r="BN114" i="50"/>
  <c r="AA114" i="50"/>
  <c r="AS114" i="50"/>
  <c r="BK114" i="50"/>
  <c r="AX114" i="50"/>
  <c r="BP114" i="50"/>
  <c r="AJ114" i="50"/>
  <c r="BB114" i="50"/>
  <c r="AO114" i="50"/>
  <c r="BG114" i="50"/>
  <c r="AB116" i="50"/>
  <c r="AJ116" i="50"/>
  <c r="AO116" i="50"/>
  <c r="AS116" i="50"/>
  <c r="AX116" i="50"/>
  <c r="BB116" i="50"/>
  <c r="BG116" i="50"/>
  <c r="BK116" i="50"/>
  <c r="BP116" i="50"/>
  <c r="AC116" i="50"/>
  <c r="AH116" i="50"/>
  <c r="AQ116" i="50"/>
  <c r="AU116" i="50"/>
  <c r="AZ116" i="50"/>
  <c r="BE116" i="50"/>
  <c r="BI116" i="50"/>
  <c r="BN116" i="50"/>
  <c r="BR116" i="50"/>
  <c r="AA116" i="50"/>
  <c r="AK116" i="50"/>
  <c r="AT116" i="50"/>
  <c r="BC116" i="50"/>
  <c r="BM116" i="50"/>
  <c r="AD116" i="50"/>
  <c r="AM116" i="50"/>
  <c r="AW116" i="50"/>
  <c r="BF116" i="50"/>
  <c r="BO116" i="50"/>
  <c r="AF116" i="50"/>
  <c r="AP116" i="50"/>
  <c r="AY116" i="50"/>
  <c r="BH116" i="50"/>
  <c r="BQ116" i="50"/>
  <c r="AI116" i="50"/>
  <c r="BS116" i="50"/>
  <c r="AR116" i="50"/>
  <c r="BA116" i="50"/>
  <c r="BJ116" i="50"/>
  <c r="AC118" i="50"/>
  <c r="AH118" i="50"/>
  <c r="AQ118" i="50"/>
  <c r="AU118" i="50"/>
  <c r="AZ118" i="50"/>
  <c r="BE118" i="50"/>
  <c r="BI118" i="50"/>
  <c r="BN118" i="50"/>
  <c r="BR118" i="50"/>
  <c r="AD118" i="50"/>
  <c r="AI118" i="50"/>
  <c r="AM118" i="50"/>
  <c r="AR118" i="50"/>
  <c r="AW118" i="50"/>
  <c r="BA118" i="50"/>
  <c r="BF118" i="50"/>
  <c r="BJ118" i="50"/>
  <c r="BO118" i="50"/>
  <c r="BS118" i="50"/>
  <c r="AA118" i="50"/>
  <c r="AJ118" i="50"/>
  <c r="AO118" i="50"/>
  <c r="AS118" i="50"/>
  <c r="AX118" i="50"/>
  <c r="BB118" i="50"/>
  <c r="BG118" i="50"/>
  <c r="BK118" i="50"/>
  <c r="BP118" i="50"/>
  <c r="AF118" i="50"/>
  <c r="AY118" i="50"/>
  <c r="BQ118" i="50"/>
  <c r="AK118" i="50"/>
  <c r="BC118" i="50"/>
  <c r="AP118" i="50"/>
  <c r="BH118" i="50"/>
  <c r="AT118" i="50"/>
  <c r="BM118" i="50"/>
  <c r="AB118" i="50"/>
  <c r="AC120" i="50"/>
  <c r="AH120" i="50"/>
  <c r="AQ120" i="50"/>
  <c r="AU120" i="50"/>
  <c r="AZ120" i="50"/>
  <c r="BE120" i="50"/>
  <c r="BI120" i="50"/>
  <c r="BN120" i="50"/>
  <c r="BR120" i="50"/>
  <c r="AD120" i="50"/>
  <c r="AI120" i="50"/>
  <c r="AM120" i="50"/>
  <c r="AR120" i="50"/>
  <c r="AW120" i="50"/>
  <c r="BA120" i="50"/>
  <c r="BF120" i="50"/>
  <c r="BJ120" i="50"/>
  <c r="BO120" i="50"/>
  <c r="BS120" i="50"/>
  <c r="AA120" i="50"/>
  <c r="AJ120" i="50"/>
  <c r="AO120" i="50"/>
  <c r="AS120" i="50"/>
  <c r="AX120" i="50"/>
  <c r="BB120" i="50"/>
  <c r="BG120" i="50"/>
  <c r="BK120" i="50"/>
  <c r="BP120" i="50"/>
  <c r="AF120" i="50"/>
  <c r="AY120" i="50"/>
  <c r="BQ120" i="50"/>
  <c r="AK120" i="50"/>
  <c r="BC120" i="50"/>
  <c r="AP120" i="50"/>
  <c r="BH120" i="50"/>
  <c r="AB120" i="50"/>
  <c r="AT120" i="50"/>
  <c r="BM120" i="50"/>
  <c r="AC122" i="50"/>
  <c r="AH122" i="50"/>
  <c r="AQ122" i="50"/>
  <c r="AU122" i="50"/>
  <c r="AZ122" i="50"/>
  <c r="BE122" i="50"/>
  <c r="BI122" i="50"/>
  <c r="BN122" i="50"/>
  <c r="BR122" i="50"/>
  <c r="AD122" i="50"/>
  <c r="AI122" i="50"/>
  <c r="AM122" i="50"/>
  <c r="AR122" i="50"/>
  <c r="AW122" i="50"/>
  <c r="BA122" i="50"/>
  <c r="BF122" i="50"/>
  <c r="BJ122" i="50"/>
  <c r="BO122" i="50"/>
  <c r="BS122" i="50"/>
  <c r="AA122" i="50"/>
  <c r="AJ122" i="50"/>
  <c r="AO122" i="50"/>
  <c r="AS122" i="50"/>
  <c r="AX122" i="50"/>
  <c r="BB122" i="50"/>
  <c r="BG122" i="50"/>
  <c r="BK122" i="50"/>
  <c r="BP122" i="50"/>
  <c r="AF122" i="50"/>
  <c r="AY122" i="50"/>
  <c r="BQ122" i="50"/>
  <c r="AK122" i="50"/>
  <c r="BC122" i="50"/>
  <c r="AP122" i="50"/>
  <c r="BH122" i="50"/>
  <c r="AT122" i="50"/>
  <c r="BM122" i="50"/>
  <c r="AB122" i="50"/>
  <c r="AC124" i="50"/>
  <c r="AH124" i="50"/>
  <c r="AQ124" i="50"/>
  <c r="AU124" i="50"/>
  <c r="AZ124" i="50"/>
  <c r="BE124" i="50"/>
  <c r="BI124" i="50"/>
  <c r="BN124" i="50"/>
  <c r="BR124" i="50"/>
  <c r="AD124" i="50"/>
  <c r="AI124" i="50"/>
  <c r="AM124" i="50"/>
  <c r="AR124" i="50"/>
  <c r="AW124" i="50"/>
  <c r="BA124" i="50"/>
  <c r="BF124" i="50"/>
  <c r="BJ124" i="50"/>
  <c r="BO124" i="50"/>
  <c r="BS124" i="50"/>
  <c r="AA124" i="50"/>
  <c r="AJ124" i="50"/>
  <c r="AO124" i="50"/>
  <c r="AS124" i="50"/>
  <c r="AX124" i="50"/>
  <c r="BB124" i="50"/>
  <c r="BG124" i="50"/>
  <c r="BK124" i="50"/>
  <c r="BP124" i="50"/>
  <c r="AF124" i="50"/>
  <c r="AY124" i="50"/>
  <c r="BQ124" i="50"/>
  <c r="AK124" i="50"/>
  <c r="BC124" i="50"/>
  <c r="AP124" i="50"/>
  <c r="BH124" i="50"/>
  <c r="AB124" i="50"/>
  <c r="AT124" i="50"/>
  <c r="BM124" i="50"/>
  <c r="AC126" i="50"/>
  <c r="AH126" i="50"/>
  <c r="AQ126" i="50"/>
  <c r="AU126" i="50"/>
  <c r="AZ126" i="50"/>
  <c r="BE126" i="50"/>
  <c r="BI126" i="50"/>
  <c r="BN126" i="50"/>
  <c r="BR126" i="50"/>
  <c r="AD126" i="50"/>
  <c r="AI126" i="50"/>
  <c r="AM126" i="50"/>
  <c r="AR126" i="50"/>
  <c r="AW126" i="50"/>
  <c r="BA126" i="50"/>
  <c r="BF126" i="50"/>
  <c r="BJ126" i="50"/>
  <c r="BO126" i="50"/>
  <c r="BS126" i="50"/>
  <c r="AA126" i="50"/>
  <c r="AJ126" i="50"/>
  <c r="AO126" i="50"/>
  <c r="AS126" i="50"/>
  <c r="AX126" i="50"/>
  <c r="BB126" i="50"/>
  <c r="BG126" i="50"/>
  <c r="BK126" i="50"/>
  <c r="BP126" i="50"/>
  <c r="AF126" i="50"/>
  <c r="AY126" i="50"/>
  <c r="BQ126" i="50"/>
  <c r="AK126" i="50"/>
  <c r="BC126" i="50"/>
  <c r="AP126" i="50"/>
  <c r="BH126" i="50"/>
  <c r="AT126" i="50"/>
  <c r="AB126" i="50"/>
  <c r="BM126" i="50"/>
  <c r="Q52" i="50"/>
  <c r="Q52" i="51"/>
  <c r="BT52" i="50" s="1"/>
  <c r="Q53" i="10"/>
  <c r="P52" i="50"/>
  <c r="P52" i="51"/>
  <c r="P53" i="10"/>
  <c r="L53" i="10"/>
  <c r="I53" i="10"/>
  <c r="G53" i="10"/>
  <c r="F53" i="10"/>
  <c r="E53" i="10"/>
  <c r="D53" i="10"/>
  <c r="C53" i="10"/>
  <c r="B53" i="10"/>
  <c r="E42" i="121"/>
  <c r="N53" i="51"/>
  <c r="I21" i="121"/>
  <c r="P122" i="10"/>
  <c r="P121" i="10"/>
  <c r="P120" i="10"/>
  <c r="P119" i="10"/>
  <c r="P118" i="10"/>
  <c r="P126" i="10"/>
  <c r="P117" i="10"/>
  <c r="P116" i="10"/>
  <c r="P115" i="10"/>
  <c r="P125" i="10"/>
  <c r="P114" i="10"/>
  <c r="P113" i="10"/>
  <c r="P112" i="10"/>
  <c r="P124" i="10"/>
  <c r="P123" i="10"/>
  <c r="P111" i="10"/>
  <c r="P110" i="10"/>
  <c r="P108" i="50"/>
  <c r="P108" i="51"/>
  <c r="AL108" i="50" s="1"/>
  <c r="P108" i="10"/>
  <c r="P91" i="50"/>
  <c r="P91" i="51"/>
  <c r="AL91" i="50" s="1"/>
  <c r="P91" i="10"/>
  <c r="P107" i="50"/>
  <c r="P107" i="51"/>
  <c r="P107" i="10"/>
  <c r="P106" i="50"/>
  <c r="P106" i="51"/>
  <c r="P106" i="10"/>
  <c r="P105" i="50"/>
  <c r="P105" i="51"/>
  <c r="P105" i="10"/>
  <c r="P51" i="50"/>
  <c r="P51" i="51"/>
  <c r="P51" i="10"/>
  <c r="P50" i="50"/>
  <c r="P50" i="51"/>
  <c r="P50" i="10"/>
  <c r="P49" i="50"/>
  <c r="P49" i="51"/>
  <c r="P49" i="10"/>
  <c r="P48" i="50"/>
  <c r="P48" i="51"/>
  <c r="P48" i="10"/>
  <c r="P72" i="50"/>
  <c r="P72" i="51"/>
  <c r="P72" i="10"/>
  <c r="P73" i="50"/>
  <c r="P73" i="51"/>
  <c r="AL73" i="50" s="1"/>
  <c r="P73" i="10"/>
  <c r="P71" i="50"/>
  <c r="P71" i="51"/>
  <c r="P71" i="10"/>
  <c r="P70" i="50"/>
  <c r="P70" i="51"/>
  <c r="P70" i="10"/>
  <c r="P69" i="50"/>
  <c r="P69" i="51"/>
  <c r="P69" i="10"/>
  <c r="P68" i="50"/>
  <c r="P68" i="51"/>
  <c r="AE68" i="50" s="1"/>
  <c r="P68" i="10"/>
  <c r="P67" i="50"/>
  <c r="P67" i="51"/>
  <c r="P67" i="10"/>
  <c r="P93" i="50"/>
  <c r="P93" i="51"/>
  <c r="P93" i="10"/>
  <c r="P95" i="50"/>
  <c r="P95" i="51"/>
  <c r="P95" i="10"/>
  <c r="P47" i="50"/>
  <c r="P47" i="51"/>
  <c r="P47" i="10"/>
  <c r="P56" i="50"/>
  <c r="P56" i="51"/>
  <c r="P56" i="10"/>
  <c r="P55" i="50"/>
  <c r="P55" i="51"/>
  <c r="P55" i="10"/>
  <c r="P54" i="50"/>
  <c r="P54" i="51"/>
  <c r="P54" i="10"/>
  <c r="P97" i="50"/>
  <c r="P97" i="51"/>
  <c r="P97" i="10"/>
  <c r="P96" i="50"/>
  <c r="P96" i="51"/>
  <c r="P96" i="10"/>
  <c r="P102" i="50"/>
  <c r="P102" i="51"/>
  <c r="P102" i="10"/>
  <c r="P92" i="50"/>
  <c r="P92" i="51"/>
  <c r="P92" i="10"/>
  <c r="P89" i="50"/>
  <c r="P89" i="51"/>
  <c r="P89" i="10"/>
  <c r="P88" i="50"/>
  <c r="P88" i="51"/>
  <c r="P88" i="10"/>
  <c r="P87" i="50"/>
  <c r="P87" i="51"/>
  <c r="P87" i="10"/>
  <c r="P86" i="50"/>
  <c r="P86" i="51"/>
  <c r="P86" i="10"/>
  <c r="P85" i="50"/>
  <c r="P85" i="51"/>
  <c r="P85" i="10"/>
  <c r="P46" i="50"/>
  <c r="P46" i="51"/>
  <c r="P46" i="10"/>
  <c r="P45" i="50"/>
  <c r="P45" i="51"/>
  <c r="P45" i="10"/>
  <c r="P44" i="50"/>
  <c r="P44" i="51"/>
  <c r="P44" i="10"/>
  <c r="P43" i="50"/>
  <c r="P43" i="51"/>
  <c r="P43" i="10"/>
  <c r="P52" i="10"/>
  <c r="P42" i="50"/>
  <c r="P42" i="51"/>
  <c r="P42" i="10"/>
  <c r="P41" i="50"/>
  <c r="P41" i="51"/>
  <c r="P41" i="10"/>
  <c r="P40" i="50"/>
  <c r="P40" i="51"/>
  <c r="P40" i="10"/>
  <c r="P39" i="50"/>
  <c r="P39" i="51"/>
  <c r="P39" i="10"/>
  <c r="P109" i="50"/>
  <c r="P109" i="51"/>
  <c r="AL109" i="50" s="1"/>
  <c r="P109" i="10"/>
  <c r="P34" i="50"/>
  <c r="P34" i="51"/>
  <c r="P34" i="10"/>
  <c r="P33" i="50"/>
  <c r="P33" i="51"/>
  <c r="P33" i="10"/>
  <c r="P38" i="50"/>
  <c r="P38" i="51"/>
  <c r="AE38" i="50" s="1"/>
  <c r="P38" i="10"/>
  <c r="P103" i="50"/>
  <c r="P103" i="51"/>
  <c r="P103" i="10"/>
  <c r="P37" i="50"/>
  <c r="P37" i="51"/>
  <c r="P37" i="10"/>
  <c r="P36" i="50"/>
  <c r="P36" i="51"/>
  <c r="P36" i="10"/>
  <c r="P35" i="50"/>
  <c r="P35" i="51"/>
  <c r="P35" i="10"/>
  <c r="P84" i="50"/>
  <c r="P84" i="51"/>
  <c r="P84" i="10"/>
  <c r="P98" i="50"/>
  <c r="P98" i="51"/>
  <c r="P98" i="10"/>
  <c r="P83" i="50"/>
  <c r="P83" i="51"/>
  <c r="P83" i="10"/>
  <c r="P101" i="50"/>
  <c r="P101" i="51"/>
  <c r="P101" i="10"/>
  <c r="P21" i="50"/>
  <c r="P21" i="51"/>
  <c r="AL21" i="50" s="1"/>
  <c r="P21" i="10"/>
  <c r="P7" i="50"/>
  <c r="P7" i="51"/>
  <c r="AL7" i="50" s="1"/>
  <c r="P7" i="10"/>
  <c r="P20" i="50"/>
  <c r="P20" i="51"/>
  <c r="P20" i="10"/>
  <c r="P19" i="50"/>
  <c r="P19" i="51"/>
  <c r="P19" i="10"/>
  <c r="P6" i="50"/>
  <c r="P6" i="51"/>
  <c r="P6" i="10"/>
  <c r="P5" i="50"/>
  <c r="P5" i="51"/>
  <c r="P5" i="10"/>
  <c r="P18" i="50"/>
  <c r="P18" i="51"/>
  <c r="P18" i="10"/>
  <c r="P17" i="50"/>
  <c r="P17" i="51"/>
  <c r="P17" i="10"/>
  <c r="P4" i="50"/>
  <c r="P4" i="51"/>
  <c r="P4" i="10"/>
  <c r="P16" i="50"/>
  <c r="P16" i="51"/>
  <c r="P16" i="10"/>
  <c r="P15" i="50"/>
  <c r="P15" i="51"/>
  <c r="P15" i="10"/>
  <c r="P32" i="50"/>
  <c r="P32" i="51"/>
  <c r="P32" i="10"/>
  <c r="P31" i="50"/>
  <c r="P31" i="51"/>
  <c r="P31" i="10"/>
  <c r="P3" i="50"/>
  <c r="P3" i="51"/>
  <c r="P3" i="10"/>
  <c r="P14" i="50"/>
  <c r="P14" i="51"/>
  <c r="AE14" i="50" s="1"/>
  <c r="P14" i="10"/>
  <c r="P2" i="50"/>
  <c r="P2" i="51"/>
  <c r="P2" i="10"/>
  <c r="I122" i="10"/>
  <c r="I121" i="10"/>
  <c r="I120" i="10"/>
  <c r="I119" i="10"/>
  <c r="I118" i="10"/>
  <c r="I126" i="10"/>
  <c r="I117" i="10"/>
  <c r="I116" i="10"/>
  <c r="I115" i="10"/>
  <c r="I125" i="10"/>
  <c r="I114" i="10"/>
  <c r="I113" i="10"/>
  <c r="I112" i="10"/>
  <c r="I124" i="10"/>
  <c r="I123" i="10"/>
  <c r="I111" i="10"/>
  <c r="I110" i="10"/>
  <c r="I108" i="10"/>
  <c r="I91" i="10"/>
  <c r="I107" i="10"/>
  <c r="I106" i="10"/>
  <c r="I105" i="10"/>
  <c r="I51" i="10"/>
  <c r="I50" i="10"/>
  <c r="I49" i="10"/>
  <c r="I48" i="10"/>
  <c r="I72" i="10"/>
  <c r="I73" i="10"/>
  <c r="I71" i="10"/>
  <c r="I70" i="10"/>
  <c r="I69" i="10"/>
  <c r="I68" i="10"/>
  <c r="I67" i="10"/>
  <c r="I93" i="10"/>
  <c r="I95" i="10"/>
  <c r="I47" i="10"/>
  <c r="I56" i="10"/>
  <c r="I55" i="10"/>
  <c r="I54" i="10"/>
  <c r="I97" i="10"/>
  <c r="I96" i="10"/>
  <c r="I102" i="10"/>
  <c r="I92" i="10"/>
  <c r="I89" i="10"/>
  <c r="I88" i="10"/>
  <c r="I87" i="10"/>
  <c r="I86" i="10"/>
  <c r="I85" i="10"/>
  <c r="I46" i="10"/>
  <c r="I45" i="10"/>
  <c r="I44" i="10"/>
  <c r="I43" i="10"/>
  <c r="I52" i="10"/>
  <c r="I42" i="10"/>
  <c r="I41" i="10"/>
  <c r="I40" i="10"/>
  <c r="I39" i="10"/>
  <c r="I109" i="10"/>
  <c r="I34" i="10"/>
  <c r="I33" i="10"/>
  <c r="I38" i="10"/>
  <c r="I103" i="10"/>
  <c r="I36" i="10"/>
  <c r="I35" i="10"/>
  <c r="I84" i="10"/>
  <c r="I98" i="10"/>
  <c r="I83" i="10"/>
  <c r="I101" i="10"/>
  <c r="I21" i="10"/>
  <c r="I7" i="10"/>
  <c r="I20" i="10"/>
  <c r="I19" i="10"/>
  <c r="I6" i="10"/>
  <c r="I5" i="10"/>
  <c r="I18" i="10"/>
  <c r="I17" i="10"/>
  <c r="I4" i="10"/>
  <c r="I16" i="10"/>
  <c r="I15" i="10"/>
  <c r="I32" i="10"/>
  <c r="I31" i="10"/>
  <c r="I3" i="10"/>
  <c r="I14" i="10"/>
  <c r="I2" i="10"/>
  <c r="G122" i="10"/>
  <c r="G121" i="10"/>
  <c r="G120" i="10"/>
  <c r="G119" i="10"/>
  <c r="G118" i="10"/>
  <c r="G126" i="10"/>
  <c r="G117" i="10"/>
  <c r="G116" i="10"/>
  <c r="G115" i="10"/>
  <c r="G125" i="10"/>
  <c r="G114" i="10"/>
  <c r="G113" i="10"/>
  <c r="G112" i="10"/>
  <c r="G124" i="10"/>
  <c r="G123" i="10"/>
  <c r="G111" i="10"/>
  <c r="G110" i="10"/>
  <c r="G108" i="10"/>
  <c r="G91" i="10"/>
  <c r="G107" i="10"/>
  <c r="G106" i="10"/>
  <c r="G105" i="10"/>
  <c r="G51" i="10"/>
  <c r="G50" i="10"/>
  <c r="G49" i="10"/>
  <c r="G48" i="10"/>
  <c r="G72" i="10"/>
  <c r="G73" i="10"/>
  <c r="G71" i="10"/>
  <c r="G70" i="10"/>
  <c r="G69" i="10"/>
  <c r="G68" i="10"/>
  <c r="G67" i="10"/>
  <c r="G93" i="10"/>
  <c r="G95" i="10"/>
  <c r="G47" i="10"/>
  <c r="G56" i="10"/>
  <c r="G55" i="10"/>
  <c r="G54" i="10"/>
  <c r="G97" i="10"/>
  <c r="G96" i="10"/>
  <c r="G102" i="10"/>
  <c r="G92" i="10"/>
  <c r="G89" i="10"/>
  <c r="G88" i="10"/>
  <c r="G87" i="10"/>
  <c r="G86" i="10"/>
  <c r="G85" i="10"/>
  <c r="G46" i="10"/>
  <c r="G45" i="10"/>
  <c r="G44" i="10"/>
  <c r="G43" i="10"/>
  <c r="G52" i="10"/>
  <c r="G42" i="10"/>
  <c r="G41" i="10"/>
  <c r="G40" i="10"/>
  <c r="G39" i="10"/>
  <c r="G109" i="10"/>
  <c r="G34" i="10"/>
  <c r="G33" i="10"/>
  <c r="G38" i="10"/>
  <c r="G103" i="10"/>
  <c r="G37" i="10"/>
  <c r="G36" i="10"/>
  <c r="G35" i="10"/>
  <c r="G84" i="10"/>
  <c r="G98" i="10"/>
  <c r="G83" i="10"/>
  <c r="G101" i="10"/>
  <c r="G21" i="10"/>
  <c r="G7" i="10"/>
  <c r="G20" i="10"/>
  <c r="G19" i="10"/>
  <c r="G6" i="10"/>
  <c r="G5" i="10"/>
  <c r="G18" i="10"/>
  <c r="G17" i="10"/>
  <c r="G4" i="10"/>
  <c r="G16" i="10"/>
  <c r="G15" i="10"/>
  <c r="G32" i="10"/>
  <c r="G31" i="10"/>
  <c r="G3" i="10"/>
  <c r="G14" i="10"/>
  <c r="G2" i="10"/>
  <c r="E122" i="10"/>
  <c r="E121" i="10"/>
  <c r="E120" i="10"/>
  <c r="E119" i="10"/>
  <c r="E118" i="10"/>
  <c r="E126" i="10"/>
  <c r="E117" i="10"/>
  <c r="E116" i="10"/>
  <c r="E115" i="10"/>
  <c r="E125" i="10"/>
  <c r="E114" i="10"/>
  <c r="E113" i="10"/>
  <c r="E112" i="10"/>
  <c r="E124" i="10"/>
  <c r="E123" i="10"/>
  <c r="E111" i="10"/>
  <c r="E110" i="10"/>
  <c r="E108" i="10"/>
  <c r="E91" i="10"/>
  <c r="E107" i="10"/>
  <c r="E106" i="10"/>
  <c r="E105" i="10"/>
  <c r="E51" i="10"/>
  <c r="E50" i="10"/>
  <c r="E49" i="10"/>
  <c r="E48" i="10"/>
  <c r="E72" i="10"/>
  <c r="E73" i="10"/>
  <c r="E71" i="10"/>
  <c r="E70" i="10"/>
  <c r="E69" i="10"/>
  <c r="E68" i="10"/>
  <c r="E67" i="10"/>
  <c r="E93" i="10"/>
  <c r="E95" i="10"/>
  <c r="E47" i="10"/>
  <c r="E56" i="10"/>
  <c r="E55" i="10"/>
  <c r="E97" i="10"/>
  <c r="E96" i="10"/>
  <c r="E102" i="10"/>
  <c r="E92" i="10"/>
  <c r="E89" i="10"/>
  <c r="E88" i="10"/>
  <c r="E87" i="10"/>
  <c r="E86" i="10"/>
  <c r="E85" i="10"/>
  <c r="E46" i="10"/>
  <c r="E45" i="10"/>
  <c r="E44" i="10"/>
  <c r="E43" i="10"/>
  <c r="E52" i="10"/>
  <c r="E42" i="10"/>
  <c r="E41" i="10"/>
  <c r="E40" i="10"/>
  <c r="E39" i="10"/>
  <c r="E109" i="10"/>
  <c r="E34" i="10"/>
  <c r="E33" i="10"/>
  <c r="E38" i="10"/>
  <c r="E103" i="10"/>
  <c r="E37" i="10"/>
  <c r="E36" i="10"/>
  <c r="E35" i="10"/>
  <c r="E84" i="10"/>
  <c r="E98" i="10"/>
  <c r="E83" i="10"/>
  <c r="E101" i="10"/>
  <c r="E21" i="10"/>
  <c r="E7" i="10"/>
  <c r="E20" i="10"/>
  <c r="E19" i="10"/>
  <c r="E6" i="10"/>
  <c r="E5" i="10"/>
  <c r="E18" i="10"/>
  <c r="E17" i="10"/>
  <c r="E4" i="10"/>
  <c r="E16" i="10"/>
  <c r="E15" i="10"/>
  <c r="E32" i="10"/>
  <c r="E31" i="10"/>
  <c r="E3" i="10"/>
  <c r="E14" i="10"/>
  <c r="E2" i="10"/>
  <c r="B122" i="10"/>
  <c r="B121" i="10"/>
  <c r="B120" i="10"/>
  <c r="B119" i="10"/>
  <c r="B118" i="10"/>
  <c r="B126" i="10"/>
  <c r="B117" i="10"/>
  <c r="B116" i="10"/>
  <c r="B115" i="10"/>
  <c r="B125" i="10"/>
  <c r="B114" i="10"/>
  <c r="B113" i="10"/>
  <c r="B112" i="10"/>
  <c r="B124" i="10"/>
  <c r="B123" i="10"/>
  <c r="B111" i="10"/>
  <c r="B108" i="10"/>
  <c r="B91" i="10"/>
  <c r="B107" i="10"/>
  <c r="B106" i="10"/>
  <c r="B105" i="10"/>
  <c r="B51" i="10"/>
  <c r="B50" i="10"/>
  <c r="B49" i="10"/>
  <c r="B48" i="10"/>
  <c r="B72" i="10"/>
  <c r="B73" i="10"/>
  <c r="B71" i="10"/>
  <c r="B70" i="10"/>
  <c r="B69" i="10"/>
  <c r="B68" i="10"/>
  <c r="B67" i="10"/>
  <c r="B93" i="10"/>
  <c r="B95" i="10"/>
  <c r="B47" i="10"/>
  <c r="B56" i="10"/>
  <c r="B55" i="10"/>
  <c r="B54" i="10"/>
  <c r="B97" i="10"/>
  <c r="B96" i="10"/>
  <c r="B102" i="10"/>
  <c r="B92" i="10"/>
  <c r="B89" i="10"/>
  <c r="B88" i="10"/>
  <c r="B87" i="10"/>
  <c r="B86" i="10"/>
  <c r="B85" i="10"/>
  <c r="B46" i="10"/>
  <c r="B44" i="10"/>
  <c r="B45" i="10"/>
  <c r="B43" i="10"/>
  <c r="B52" i="10"/>
  <c r="B42" i="10"/>
  <c r="B41" i="10"/>
  <c r="B40" i="10"/>
  <c r="B39" i="10"/>
  <c r="B109" i="10"/>
  <c r="B34" i="10"/>
  <c r="B33" i="10"/>
  <c r="B38" i="10"/>
  <c r="B103" i="10"/>
  <c r="B37" i="10"/>
  <c r="B36" i="10"/>
  <c r="B35" i="10"/>
  <c r="B84" i="10"/>
  <c r="B98" i="10"/>
  <c r="B83" i="10"/>
  <c r="B110" i="10"/>
  <c r="B101" i="10"/>
  <c r="B21" i="10"/>
  <c r="B7" i="10"/>
  <c r="B20" i="10"/>
  <c r="B19" i="10"/>
  <c r="B6" i="10"/>
  <c r="B5" i="10"/>
  <c r="B18" i="10"/>
  <c r="B17" i="10"/>
  <c r="B4" i="10"/>
  <c r="B16" i="10"/>
  <c r="B15" i="10"/>
  <c r="B32" i="10"/>
  <c r="B31" i="10"/>
  <c r="B3" i="10"/>
  <c r="B14" i="10"/>
  <c r="B2" i="10"/>
  <c r="B13" i="10"/>
  <c r="Q34" i="50"/>
  <c r="Q34" i="51"/>
  <c r="BT34" i="50" s="1"/>
  <c r="Q34" i="10"/>
  <c r="L34" i="10"/>
  <c r="F34" i="10"/>
  <c r="D34" i="10"/>
  <c r="C34" i="10"/>
  <c r="J14" i="120"/>
  <c r="I14" i="120"/>
  <c r="H14" i="120"/>
  <c r="G14" i="120"/>
  <c r="J14" i="79"/>
  <c r="I14" i="79"/>
  <c r="H14" i="79"/>
  <c r="G14" i="79"/>
  <c r="E42" i="120"/>
  <c r="AE109" i="50" l="1"/>
  <c r="AL14" i="50"/>
  <c r="AE108" i="50"/>
  <c r="AE101" i="50"/>
  <c r="AL101" i="50"/>
  <c r="AE44" i="50"/>
  <c r="AL44" i="50"/>
  <c r="AL92" i="50"/>
  <c r="AE92" i="50"/>
  <c r="AL95" i="50"/>
  <c r="AE95" i="50"/>
  <c r="AL51" i="50"/>
  <c r="AE51" i="50"/>
  <c r="AE84" i="50"/>
  <c r="AL84" i="50"/>
  <c r="AL43" i="50"/>
  <c r="AE43" i="50"/>
  <c r="AL97" i="50"/>
  <c r="AE97" i="50"/>
  <c r="AL107" i="50"/>
  <c r="AE107" i="50"/>
  <c r="AL38" i="50"/>
  <c r="AL83" i="50"/>
  <c r="AE83" i="50"/>
  <c r="AL36" i="50"/>
  <c r="AE36" i="50"/>
  <c r="AL33" i="50"/>
  <c r="AE33" i="50"/>
  <c r="AE40" i="50"/>
  <c r="AL40" i="50"/>
  <c r="AL45" i="50"/>
  <c r="AE45" i="50"/>
  <c r="AL87" i="50"/>
  <c r="AE87" i="50"/>
  <c r="AL102" i="50"/>
  <c r="AE102" i="50"/>
  <c r="AL55" i="50"/>
  <c r="AE55" i="50"/>
  <c r="AE48" i="50"/>
  <c r="AL48" i="50"/>
  <c r="AL68" i="50"/>
  <c r="AL69" i="50"/>
  <c r="AE91" i="50"/>
  <c r="AE7" i="50"/>
  <c r="AE35" i="50"/>
  <c r="AL35" i="50"/>
  <c r="AL39" i="50"/>
  <c r="AE39" i="50"/>
  <c r="AE54" i="50"/>
  <c r="AL54" i="50"/>
  <c r="AE72" i="50"/>
  <c r="AL72" i="50"/>
  <c r="BR34" i="10"/>
  <c r="BK34" i="10"/>
  <c r="AE42" i="50"/>
  <c r="AL42" i="50"/>
  <c r="AL89" i="50"/>
  <c r="AE89" i="50"/>
  <c r="AL47" i="50"/>
  <c r="AE47" i="50"/>
  <c r="AE50" i="50"/>
  <c r="AL50" i="50"/>
  <c r="AE21" i="50"/>
  <c r="AE98" i="50"/>
  <c r="AL98" i="50"/>
  <c r="AE37" i="50"/>
  <c r="AL37" i="50"/>
  <c r="AL34" i="50"/>
  <c r="AE34" i="50"/>
  <c r="AL41" i="50"/>
  <c r="AE41" i="50"/>
  <c r="AE46" i="50"/>
  <c r="AL46" i="50"/>
  <c r="AE88" i="50"/>
  <c r="AL88" i="50"/>
  <c r="AE96" i="50"/>
  <c r="AL96" i="50"/>
  <c r="AE56" i="50"/>
  <c r="AL56" i="50"/>
  <c r="AE67" i="50"/>
  <c r="AL67" i="50"/>
  <c r="AL71" i="50"/>
  <c r="AE71" i="50"/>
  <c r="AL49" i="50"/>
  <c r="AE49" i="50"/>
  <c r="AL15" i="50"/>
  <c r="AE15" i="50"/>
  <c r="AL16" i="50"/>
  <c r="AE16" i="50"/>
  <c r="AL85" i="50"/>
  <c r="AE85" i="50"/>
  <c r="AE70" i="50"/>
  <c r="AL70" i="50"/>
  <c r="AL93" i="50"/>
  <c r="AE93" i="50"/>
  <c r="BR53" i="10"/>
  <c r="BK53" i="10"/>
  <c r="BT127" i="50"/>
  <c r="T3" i="10"/>
  <c r="X3" i="10"/>
  <c r="AC3" i="10"/>
  <c r="AG3" i="10"/>
  <c r="AL3" i="10"/>
  <c r="AQ3" i="10"/>
  <c r="AU3" i="10"/>
  <c r="AZ3" i="10"/>
  <c r="BD3" i="10"/>
  <c r="U3" i="10"/>
  <c r="Y3" i="10"/>
  <c r="AD3" i="10"/>
  <c r="AI3" i="10"/>
  <c r="AM3" i="10"/>
  <c r="AR3" i="10"/>
  <c r="AV3" i="10"/>
  <c r="BA3" i="10"/>
  <c r="BE3" i="10"/>
  <c r="V3" i="10"/>
  <c r="AA3" i="10"/>
  <c r="AE3" i="10"/>
  <c r="AJ3" i="10"/>
  <c r="AN3" i="10"/>
  <c r="AS3" i="10"/>
  <c r="AW3" i="10"/>
  <c r="BB3" i="10"/>
  <c r="AF3" i="10"/>
  <c r="AY3" i="10"/>
  <c r="S3" i="10"/>
  <c r="AK3" i="10"/>
  <c r="BC3" i="10"/>
  <c r="W3" i="10"/>
  <c r="AO3" i="10"/>
  <c r="AB3" i="10"/>
  <c r="AT3" i="10"/>
  <c r="S16" i="10"/>
  <c r="W16" i="10"/>
  <c r="AB16" i="10"/>
  <c r="AF16" i="10"/>
  <c r="AK16" i="10"/>
  <c r="AO16" i="10"/>
  <c r="AY16" i="10"/>
  <c r="BC16" i="10"/>
  <c r="T16" i="10"/>
  <c r="X16" i="10"/>
  <c r="AC16" i="10"/>
  <c r="AG16" i="10"/>
  <c r="AQ16" i="10"/>
  <c r="AU16" i="10"/>
  <c r="AZ16" i="10"/>
  <c r="BD16" i="10"/>
  <c r="U16" i="10"/>
  <c r="Y16" i="10"/>
  <c r="AI16" i="10"/>
  <c r="AM16" i="10"/>
  <c r="AR16" i="10"/>
  <c r="AV16" i="10"/>
  <c r="BA16" i="10"/>
  <c r="BE16" i="10"/>
  <c r="AA16" i="10"/>
  <c r="AS16" i="10"/>
  <c r="AE16" i="10"/>
  <c r="AW16" i="10"/>
  <c r="AJ16" i="10"/>
  <c r="AN16" i="10"/>
  <c r="AC6" i="50"/>
  <c r="AH6" i="50"/>
  <c r="AU6" i="50"/>
  <c r="AZ6" i="50"/>
  <c r="BE6" i="50"/>
  <c r="BI6" i="50"/>
  <c r="AA6" i="50"/>
  <c r="AJ6" i="50"/>
  <c r="AO6" i="50"/>
  <c r="AS6" i="50"/>
  <c r="AX6" i="50"/>
  <c r="BB6" i="50"/>
  <c r="BG6" i="50"/>
  <c r="BK6" i="50"/>
  <c r="BP6" i="50"/>
  <c r="AF6" i="50"/>
  <c r="AP6" i="50"/>
  <c r="BH6" i="50"/>
  <c r="BO6" i="50"/>
  <c r="AB6" i="50"/>
  <c r="AK6" i="50"/>
  <c r="AT6" i="50"/>
  <c r="BC6" i="50"/>
  <c r="BM6" i="50"/>
  <c r="BR6" i="50"/>
  <c r="AM6" i="50"/>
  <c r="BF6" i="50"/>
  <c r="BS6" i="50"/>
  <c r="AD6" i="50"/>
  <c r="AW6" i="50"/>
  <c r="BN6" i="50"/>
  <c r="AI6" i="50"/>
  <c r="BQ6" i="50"/>
  <c r="BA6" i="50"/>
  <c r="BJ6" i="50"/>
  <c r="AR6" i="50"/>
  <c r="V19" i="50"/>
  <c r="T19" i="50"/>
  <c r="X19" i="50"/>
  <c r="Y19" i="50"/>
  <c r="U19" i="50"/>
  <c r="W19" i="50"/>
  <c r="S19" i="50"/>
  <c r="W101" i="50"/>
  <c r="T101" i="50"/>
  <c r="Y101" i="50"/>
  <c r="X101" i="50"/>
  <c r="S101" i="50"/>
  <c r="U101" i="50"/>
  <c r="V35" i="50"/>
  <c r="T35" i="50"/>
  <c r="Y35" i="50"/>
  <c r="X35" i="50"/>
  <c r="S35" i="50"/>
  <c r="V38" i="50"/>
  <c r="T38" i="50"/>
  <c r="X38" i="50"/>
  <c r="U38" i="50"/>
  <c r="W38" i="50"/>
  <c r="S38" i="50"/>
  <c r="T39" i="50"/>
  <c r="X39" i="50"/>
  <c r="Y39" i="50"/>
  <c r="U39" i="50"/>
  <c r="W39" i="50"/>
  <c r="S39" i="50"/>
  <c r="AD42" i="50"/>
  <c r="AI42" i="50"/>
  <c r="AM42" i="50"/>
  <c r="AW42" i="50"/>
  <c r="BA42" i="50"/>
  <c r="BF42" i="50"/>
  <c r="BK42" i="50"/>
  <c r="BP42" i="50"/>
  <c r="AB42" i="50"/>
  <c r="AF42" i="50"/>
  <c r="AK42" i="50"/>
  <c r="AP42" i="50"/>
  <c r="AT42" i="50"/>
  <c r="AY42" i="50"/>
  <c r="BC42" i="50"/>
  <c r="BI42" i="50"/>
  <c r="BN42" i="50"/>
  <c r="BR42" i="50"/>
  <c r="AU42" i="50"/>
  <c r="BE42" i="50"/>
  <c r="BO42" i="50"/>
  <c r="AH42" i="50"/>
  <c r="AQ42" i="50"/>
  <c r="BJ42" i="50"/>
  <c r="BS42" i="50"/>
  <c r="BB42" i="50"/>
  <c r="AX42" i="50"/>
  <c r="BQ42" i="50"/>
  <c r="AS42" i="50"/>
  <c r="AO42" i="50"/>
  <c r="AA42" i="50"/>
  <c r="BG42" i="50"/>
  <c r="BM42" i="50"/>
  <c r="S46" i="10"/>
  <c r="W46" i="10"/>
  <c r="AB46" i="10"/>
  <c r="AF46" i="10"/>
  <c r="AK46" i="10"/>
  <c r="AO46" i="10"/>
  <c r="AY46" i="10"/>
  <c r="BC46" i="10"/>
  <c r="T46" i="10"/>
  <c r="X46" i="10"/>
  <c r="AC46" i="10"/>
  <c r="AG46" i="10"/>
  <c r="AQ46" i="10"/>
  <c r="AU46" i="10"/>
  <c r="AZ46" i="10"/>
  <c r="BD46" i="10"/>
  <c r="U46" i="10"/>
  <c r="Y46" i="10"/>
  <c r="AI46" i="10"/>
  <c r="AM46" i="10"/>
  <c r="AR46" i="10"/>
  <c r="AV46" i="10"/>
  <c r="BA46" i="10"/>
  <c r="BE46" i="10"/>
  <c r="AN46" i="10"/>
  <c r="AA46" i="10"/>
  <c r="AS46" i="10"/>
  <c r="AE46" i="10"/>
  <c r="AW46" i="10"/>
  <c r="AJ46" i="10"/>
  <c r="U88" i="10"/>
  <c r="Y88" i="10"/>
  <c r="AD88" i="10"/>
  <c r="AI88" i="10"/>
  <c r="AM88" i="10"/>
  <c r="AR88" i="10"/>
  <c r="AV88" i="10"/>
  <c r="BA88" i="10"/>
  <c r="BE88" i="10"/>
  <c r="V88" i="10"/>
  <c r="AA88" i="10"/>
  <c r="AE88" i="10"/>
  <c r="AJ88" i="10"/>
  <c r="AN88" i="10"/>
  <c r="AS88" i="10"/>
  <c r="AW88" i="10"/>
  <c r="BB88" i="10"/>
  <c r="S88" i="10"/>
  <c r="W88" i="10"/>
  <c r="AB88" i="10"/>
  <c r="AF88" i="10"/>
  <c r="AK88" i="10"/>
  <c r="AO88" i="10"/>
  <c r="AT88" i="10"/>
  <c r="AY88" i="10"/>
  <c r="BC88" i="10"/>
  <c r="AC88" i="10"/>
  <c r="AU88" i="10"/>
  <c r="AQ88" i="10"/>
  <c r="AG88" i="10"/>
  <c r="AZ88" i="10"/>
  <c r="T88" i="10"/>
  <c r="AL88" i="10"/>
  <c r="BD88" i="10"/>
  <c r="X88" i="10"/>
  <c r="U96" i="10"/>
  <c r="Y96" i="10"/>
  <c r="AD96" i="10"/>
  <c r="AI96" i="10"/>
  <c r="AM96" i="10"/>
  <c r="AR96" i="10"/>
  <c r="AV96" i="10"/>
  <c r="BA96" i="10"/>
  <c r="BE96" i="10"/>
  <c r="V96" i="10"/>
  <c r="AA96" i="10"/>
  <c r="AE96" i="10"/>
  <c r="AJ96" i="10"/>
  <c r="AN96" i="10"/>
  <c r="AS96" i="10"/>
  <c r="AW96" i="10"/>
  <c r="BB96" i="10"/>
  <c r="S96" i="10"/>
  <c r="W96" i="10"/>
  <c r="AB96" i="10"/>
  <c r="AF96" i="10"/>
  <c r="AK96" i="10"/>
  <c r="AO96" i="10"/>
  <c r="AT96" i="10"/>
  <c r="AY96" i="10"/>
  <c r="BC96" i="10"/>
  <c r="AG96" i="10"/>
  <c r="AZ96" i="10"/>
  <c r="T96" i="10"/>
  <c r="AL96" i="10"/>
  <c r="BD96" i="10"/>
  <c r="AU96" i="10"/>
  <c r="X96" i="10"/>
  <c r="AQ96" i="10"/>
  <c r="AC96" i="10"/>
  <c r="T54" i="50"/>
  <c r="X54" i="50"/>
  <c r="V54" i="50"/>
  <c r="W54" i="50"/>
  <c r="S54" i="50"/>
  <c r="U54" i="50"/>
  <c r="Y54" i="50"/>
  <c r="V95" i="50"/>
  <c r="T95" i="50"/>
  <c r="X95" i="50"/>
  <c r="W95" i="50"/>
  <c r="S95" i="50"/>
  <c r="Y95" i="50"/>
  <c r="U95" i="50"/>
  <c r="S71" i="10"/>
  <c r="W71" i="10"/>
  <c r="AB71" i="10"/>
  <c r="AK71" i="10"/>
  <c r="AO71" i="10"/>
  <c r="AT71" i="10"/>
  <c r="AY71" i="10"/>
  <c r="BC71" i="10"/>
  <c r="T71" i="10"/>
  <c r="AC71" i="10"/>
  <c r="AG71" i="10"/>
  <c r="AL71" i="10"/>
  <c r="AQ71" i="10"/>
  <c r="AU71" i="10"/>
  <c r="AZ71" i="10"/>
  <c r="U71" i="10"/>
  <c r="Y71" i="10"/>
  <c r="AD71" i="10"/>
  <c r="AI71" i="10"/>
  <c r="AM71" i="10"/>
  <c r="AR71" i="10"/>
  <c r="BA71" i="10"/>
  <c r="BE71" i="10"/>
  <c r="AA71" i="10"/>
  <c r="AS71" i="10"/>
  <c r="AE71" i="10"/>
  <c r="AW71" i="10"/>
  <c r="V71" i="10"/>
  <c r="AJ71" i="10"/>
  <c r="BB71" i="10"/>
  <c r="V49" i="10"/>
  <c r="AA49" i="10"/>
  <c r="AE49" i="10"/>
  <c r="AJ49" i="10"/>
  <c r="AN49" i="10"/>
  <c r="AS49" i="10"/>
  <c r="AW49" i="10"/>
  <c r="BB49" i="10"/>
  <c r="S49" i="10"/>
  <c r="W49" i="10"/>
  <c r="AB49" i="10"/>
  <c r="AF49" i="10"/>
  <c r="AK49" i="10"/>
  <c r="AO49" i="10"/>
  <c r="AT49" i="10"/>
  <c r="AY49" i="10"/>
  <c r="BC49" i="10"/>
  <c r="T49" i="10"/>
  <c r="X49" i="10"/>
  <c r="AC49" i="10"/>
  <c r="AG49" i="10"/>
  <c r="AL49" i="10"/>
  <c r="AQ49" i="10"/>
  <c r="AU49" i="10"/>
  <c r="AZ49" i="10"/>
  <c r="BD49" i="10"/>
  <c r="Y49" i="10"/>
  <c r="AR49" i="10"/>
  <c r="U49" i="10"/>
  <c r="BE49" i="10"/>
  <c r="AD49" i="10"/>
  <c r="AV49" i="10"/>
  <c r="AI49" i="10"/>
  <c r="BA49" i="10"/>
  <c r="AM49" i="10"/>
  <c r="T106" i="10"/>
  <c r="X106" i="10"/>
  <c r="AC106" i="10"/>
  <c r="AG106" i="10"/>
  <c r="AL106" i="10"/>
  <c r="AQ106" i="10"/>
  <c r="AU106" i="10"/>
  <c r="AZ106" i="10"/>
  <c r="BD106" i="10"/>
  <c r="AB106" i="10"/>
  <c r="AT106" i="10"/>
  <c r="U106" i="10"/>
  <c r="Y106" i="10"/>
  <c r="AD106" i="10"/>
  <c r="AI106" i="10"/>
  <c r="AM106" i="10"/>
  <c r="AR106" i="10"/>
  <c r="AV106" i="10"/>
  <c r="BA106" i="10"/>
  <c r="BE106" i="10"/>
  <c r="W106" i="10"/>
  <c r="AK106" i="10"/>
  <c r="AY106" i="10"/>
  <c r="V106" i="10"/>
  <c r="AA106" i="10"/>
  <c r="AE106" i="10"/>
  <c r="AJ106" i="10"/>
  <c r="AN106" i="10"/>
  <c r="AS106" i="10"/>
  <c r="AW106" i="10"/>
  <c r="BB106" i="10"/>
  <c r="S106" i="10"/>
  <c r="AF106" i="10"/>
  <c r="AO106" i="10"/>
  <c r="BC106" i="10"/>
  <c r="AB107" i="50"/>
  <c r="AF107" i="50"/>
  <c r="AK107" i="50"/>
  <c r="AT107" i="50"/>
  <c r="AY107" i="50"/>
  <c r="BC107" i="50"/>
  <c r="BH107" i="50"/>
  <c r="BM107" i="50"/>
  <c r="BQ107" i="50"/>
  <c r="AD107" i="50"/>
  <c r="AI107" i="50"/>
  <c r="AM107" i="50"/>
  <c r="AR107" i="50"/>
  <c r="AW107" i="50"/>
  <c r="BA107" i="50"/>
  <c r="BJ107" i="50"/>
  <c r="BO107" i="50"/>
  <c r="BS107" i="50"/>
  <c r="AQ107" i="50"/>
  <c r="AZ107" i="50"/>
  <c r="BI107" i="50"/>
  <c r="BR107" i="50"/>
  <c r="AC107" i="50"/>
  <c r="AU107" i="50"/>
  <c r="BE107" i="50"/>
  <c r="BN107" i="50"/>
  <c r="AS107" i="50"/>
  <c r="BK107" i="50"/>
  <c r="BP107" i="50"/>
  <c r="AJ107" i="50"/>
  <c r="BB107" i="50"/>
  <c r="AO107" i="50"/>
  <c r="BG107" i="50"/>
  <c r="V112" i="10"/>
  <c r="AE112" i="10"/>
  <c r="AJ112" i="10"/>
  <c r="AN112" i="10"/>
  <c r="AS112" i="10"/>
  <c r="AW112" i="10"/>
  <c r="BB112" i="10"/>
  <c r="Y112" i="10"/>
  <c r="AR112" i="10"/>
  <c r="BE112" i="10"/>
  <c r="W112" i="10"/>
  <c r="AB112" i="10"/>
  <c r="AF112" i="10"/>
  <c r="AK112" i="10"/>
  <c r="AO112" i="10"/>
  <c r="AT112" i="10"/>
  <c r="BC112" i="10"/>
  <c r="U112" i="10"/>
  <c r="AV112" i="10"/>
  <c r="T112" i="10"/>
  <c r="X112" i="10"/>
  <c r="AC112" i="10"/>
  <c r="AG112" i="10"/>
  <c r="AL112" i="10"/>
  <c r="AU112" i="10"/>
  <c r="AZ112" i="10"/>
  <c r="BD112" i="10"/>
  <c r="AD112" i="10"/>
  <c r="AM112" i="10"/>
  <c r="BA112" i="10"/>
  <c r="T122" i="10"/>
  <c r="X122" i="10"/>
  <c r="AC122" i="10"/>
  <c r="AG122" i="10"/>
  <c r="AL122" i="10"/>
  <c r="AU122" i="10"/>
  <c r="AZ122" i="10"/>
  <c r="BD122" i="10"/>
  <c r="AB122" i="10"/>
  <c r="AK122" i="10"/>
  <c r="U122" i="10"/>
  <c r="Y122" i="10"/>
  <c r="AD122" i="10"/>
  <c r="AM122" i="10"/>
  <c r="AR122" i="10"/>
  <c r="AV122" i="10"/>
  <c r="BA122" i="10"/>
  <c r="BE122" i="10"/>
  <c r="AO122" i="10"/>
  <c r="BC122" i="10"/>
  <c r="V122" i="10"/>
  <c r="AE122" i="10"/>
  <c r="AJ122" i="10"/>
  <c r="AN122" i="10"/>
  <c r="AS122" i="10"/>
  <c r="AW122" i="10"/>
  <c r="BB122" i="10"/>
  <c r="W122" i="10"/>
  <c r="AF122" i="10"/>
  <c r="AT122" i="10"/>
  <c r="AZ127" i="50"/>
  <c r="AD127" i="50"/>
  <c r="V127" i="50"/>
  <c r="U14" i="10"/>
  <c r="Y14" i="10"/>
  <c r="AD14" i="10"/>
  <c r="AM14" i="10"/>
  <c r="AR14" i="10"/>
  <c r="AV14" i="10"/>
  <c r="BA14" i="10"/>
  <c r="BE14" i="10"/>
  <c r="V14" i="10"/>
  <c r="AE14" i="10"/>
  <c r="AJ14" i="10"/>
  <c r="AN14" i="10"/>
  <c r="AS14" i="10"/>
  <c r="AW14" i="10"/>
  <c r="BB14" i="10"/>
  <c r="W14" i="10"/>
  <c r="AB14" i="10"/>
  <c r="AF14" i="10"/>
  <c r="AK14" i="10"/>
  <c r="AO14" i="10"/>
  <c r="AT14" i="10"/>
  <c r="BC14" i="10"/>
  <c r="X14" i="10"/>
  <c r="AC14" i="10"/>
  <c r="AU14" i="10"/>
  <c r="AG14" i="10"/>
  <c r="AZ14" i="10"/>
  <c r="T14" i="10"/>
  <c r="AL14" i="10"/>
  <c r="BD14" i="10"/>
  <c r="AC3" i="50"/>
  <c r="AH3" i="50"/>
  <c r="AQ3" i="50"/>
  <c r="AU3" i="50"/>
  <c r="AZ3" i="50"/>
  <c r="BE3" i="50"/>
  <c r="BI3" i="50"/>
  <c r="BN3" i="50"/>
  <c r="BR3" i="50"/>
  <c r="AA3" i="50"/>
  <c r="AJ3" i="50"/>
  <c r="AS3" i="50"/>
  <c r="AX3" i="50"/>
  <c r="BB3" i="50"/>
  <c r="BG3" i="50"/>
  <c r="BK3" i="50"/>
  <c r="BP3" i="50"/>
  <c r="AF3" i="50"/>
  <c r="AP3" i="50"/>
  <c r="AY3" i="50"/>
  <c r="BH3" i="50"/>
  <c r="BQ3" i="50"/>
  <c r="AB3" i="50"/>
  <c r="AK3" i="50"/>
  <c r="AT3" i="50"/>
  <c r="BC3" i="50"/>
  <c r="BM3" i="50"/>
  <c r="AM3" i="50"/>
  <c r="BF3" i="50"/>
  <c r="AD3" i="50"/>
  <c r="BO3" i="50"/>
  <c r="BA3" i="50"/>
  <c r="AI3" i="50"/>
  <c r="BS3" i="50"/>
  <c r="AR3" i="50"/>
  <c r="BJ3" i="50"/>
  <c r="T31" i="50"/>
  <c r="X31" i="50"/>
  <c r="V31" i="50"/>
  <c r="W31" i="50"/>
  <c r="S31" i="50"/>
  <c r="U31" i="50"/>
  <c r="Y31" i="50"/>
  <c r="AA15" i="10"/>
  <c r="AE15" i="10"/>
  <c r="AJ15" i="10"/>
  <c r="AN15" i="10"/>
  <c r="AS15" i="10"/>
  <c r="AW15" i="10"/>
  <c r="S15" i="10"/>
  <c r="W15" i="10"/>
  <c r="AB15" i="10"/>
  <c r="AF15" i="10"/>
  <c r="AK15" i="10"/>
  <c r="AO15" i="10"/>
  <c r="AY15" i="10"/>
  <c r="BC15" i="10"/>
  <c r="T15" i="10"/>
  <c r="X15" i="10"/>
  <c r="AC15" i="10"/>
  <c r="AG15" i="10"/>
  <c r="AQ15" i="10"/>
  <c r="AU15" i="10"/>
  <c r="AZ15" i="10"/>
  <c r="BD15" i="10"/>
  <c r="Y15" i="10"/>
  <c r="AR15" i="10"/>
  <c r="AV15" i="10"/>
  <c r="AI15" i="10"/>
  <c r="BA15" i="10"/>
  <c r="AM15" i="10"/>
  <c r="U15" i="10"/>
  <c r="BE15" i="10"/>
  <c r="AD16" i="50"/>
  <c r="AI16" i="50"/>
  <c r="AM16" i="50"/>
  <c r="AW16" i="50"/>
  <c r="BA16" i="50"/>
  <c r="BF16" i="50"/>
  <c r="BK16" i="50"/>
  <c r="BP16" i="50"/>
  <c r="AB16" i="50"/>
  <c r="AF16" i="50"/>
  <c r="AK16" i="50"/>
  <c r="AP16" i="50"/>
  <c r="AT16" i="50"/>
  <c r="AY16" i="50"/>
  <c r="BC16" i="50"/>
  <c r="BI16" i="50"/>
  <c r="BN16" i="50"/>
  <c r="BR16" i="50"/>
  <c r="AH16" i="50"/>
  <c r="AQ16" i="50"/>
  <c r="BJ16" i="50"/>
  <c r="BS16" i="50"/>
  <c r="AU16" i="50"/>
  <c r="BE16" i="50"/>
  <c r="BO16" i="50"/>
  <c r="AX16" i="50"/>
  <c r="BQ16" i="50"/>
  <c r="AO16" i="50"/>
  <c r="BG16" i="50"/>
  <c r="AS16" i="50"/>
  <c r="AA16" i="50"/>
  <c r="BM16" i="50"/>
  <c r="BB16" i="50"/>
  <c r="T4" i="50"/>
  <c r="X4" i="50"/>
  <c r="V4" i="50"/>
  <c r="W4" i="50"/>
  <c r="S4" i="50"/>
  <c r="U4" i="50"/>
  <c r="Y4" i="50"/>
  <c r="U18" i="10"/>
  <c r="Y18" i="10"/>
  <c r="AD18" i="10"/>
  <c r="AI18" i="10"/>
  <c r="AM18" i="10"/>
  <c r="AR18" i="10"/>
  <c r="AV18" i="10"/>
  <c r="BA18" i="10"/>
  <c r="BE18" i="10"/>
  <c r="V18" i="10"/>
  <c r="AA18" i="10"/>
  <c r="AE18" i="10"/>
  <c r="AJ18" i="10"/>
  <c r="AN18" i="10"/>
  <c r="AS18" i="10"/>
  <c r="AW18" i="10"/>
  <c r="BB18" i="10"/>
  <c r="S18" i="10"/>
  <c r="W18" i="10"/>
  <c r="AB18" i="10"/>
  <c r="AF18" i="10"/>
  <c r="AK18" i="10"/>
  <c r="AO18" i="10"/>
  <c r="AT18" i="10"/>
  <c r="AY18" i="10"/>
  <c r="BC18" i="10"/>
  <c r="AC18" i="10"/>
  <c r="AU18" i="10"/>
  <c r="AG18" i="10"/>
  <c r="AZ18" i="10"/>
  <c r="T18" i="10"/>
  <c r="AL18" i="10"/>
  <c r="BD18" i="10"/>
  <c r="X18" i="10"/>
  <c r="AQ18" i="10"/>
  <c r="AC5" i="50"/>
  <c r="AH5" i="50"/>
  <c r="AQ5" i="50"/>
  <c r="AU5" i="50"/>
  <c r="AZ5" i="50"/>
  <c r="BE5" i="50"/>
  <c r="BI5" i="50"/>
  <c r="BN5" i="50"/>
  <c r="BR5" i="50"/>
  <c r="AA5" i="50"/>
  <c r="AJ5" i="50"/>
  <c r="AO5" i="50"/>
  <c r="AS5" i="50"/>
  <c r="BB5" i="50"/>
  <c r="BG5" i="50"/>
  <c r="BK5" i="50"/>
  <c r="BP5" i="50"/>
  <c r="AF5" i="50"/>
  <c r="AY5" i="50"/>
  <c r="BH5" i="50"/>
  <c r="BQ5" i="50"/>
  <c r="AB5" i="50"/>
  <c r="AK5" i="50"/>
  <c r="AT5" i="50"/>
  <c r="BC5" i="50"/>
  <c r="BM5" i="50"/>
  <c r="AM5" i="50"/>
  <c r="BF5" i="50"/>
  <c r="AD5" i="50"/>
  <c r="AW5" i="50"/>
  <c r="BO5" i="50"/>
  <c r="BA5" i="50"/>
  <c r="AI5" i="50"/>
  <c r="BS5" i="50"/>
  <c r="AR5" i="50"/>
  <c r="BJ5" i="50"/>
  <c r="T6" i="50"/>
  <c r="X6" i="50"/>
  <c r="V6" i="50"/>
  <c r="W6" i="50"/>
  <c r="S6" i="50"/>
  <c r="U6" i="50"/>
  <c r="Y6" i="50"/>
  <c r="S20" i="10"/>
  <c r="W20" i="10"/>
  <c r="AB20" i="10"/>
  <c r="AF20" i="10"/>
  <c r="AK20" i="10"/>
  <c r="AO20" i="10"/>
  <c r="AT20" i="10"/>
  <c r="AY20" i="10"/>
  <c r="BC20" i="10"/>
  <c r="T20" i="10"/>
  <c r="X20" i="10"/>
  <c r="AC20" i="10"/>
  <c r="AG20" i="10"/>
  <c r="AL20" i="10"/>
  <c r="AQ20" i="10"/>
  <c r="AU20" i="10"/>
  <c r="AZ20" i="10"/>
  <c r="BD20" i="10"/>
  <c r="U20" i="10"/>
  <c r="Y20" i="10"/>
  <c r="AD20" i="10"/>
  <c r="AI20" i="10"/>
  <c r="AM20" i="10"/>
  <c r="AR20" i="10"/>
  <c r="AV20" i="10"/>
  <c r="BA20" i="10"/>
  <c r="BE20" i="10"/>
  <c r="AE20" i="10"/>
  <c r="AW20" i="10"/>
  <c r="AJ20" i="10"/>
  <c r="BB20" i="10"/>
  <c r="V20" i="10"/>
  <c r="AN20" i="10"/>
  <c r="AS20" i="10"/>
  <c r="AA20" i="10"/>
  <c r="AA7" i="50"/>
  <c r="AJ7" i="50"/>
  <c r="AO7" i="50"/>
  <c r="AS7" i="50"/>
  <c r="AX7" i="50"/>
  <c r="BB7" i="50"/>
  <c r="BG7" i="50"/>
  <c r="BK7" i="50"/>
  <c r="AD7" i="50"/>
  <c r="AK7" i="50"/>
  <c r="AQ7" i="50"/>
  <c r="AW7" i="50"/>
  <c r="BI7" i="50"/>
  <c r="BO7" i="50"/>
  <c r="BS7" i="50"/>
  <c r="AB7" i="50"/>
  <c r="AH7" i="50"/>
  <c r="AM7" i="50"/>
  <c r="AT7" i="50"/>
  <c r="AZ7" i="50"/>
  <c r="BF7" i="50"/>
  <c r="BM7" i="50"/>
  <c r="BQ7" i="50"/>
  <c r="AC7" i="50"/>
  <c r="AP7" i="50"/>
  <c r="BA7" i="50"/>
  <c r="BN7" i="50"/>
  <c r="AI7" i="50"/>
  <c r="BH7" i="50"/>
  <c r="BR7" i="50"/>
  <c r="BJ7" i="50"/>
  <c r="AY7" i="50"/>
  <c r="AF7" i="50"/>
  <c r="BE7" i="50"/>
  <c r="BP7" i="50"/>
  <c r="AR7" i="50"/>
  <c r="V21" i="50"/>
  <c r="T21" i="50"/>
  <c r="X21" i="50"/>
  <c r="Y21" i="50"/>
  <c r="U21" i="50"/>
  <c r="W21" i="50"/>
  <c r="W83" i="10"/>
  <c r="AB83" i="10"/>
  <c r="AG83" i="10"/>
  <c r="AQ83" i="10"/>
  <c r="AV83" i="10"/>
  <c r="BA83" i="10"/>
  <c r="S83" i="10"/>
  <c r="X83" i="10"/>
  <c r="AC83" i="10"/>
  <c r="AI83" i="10"/>
  <c r="AM83" i="10"/>
  <c r="AR83" i="10"/>
  <c r="AW83" i="10"/>
  <c r="BC83" i="10"/>
  <c r="T83" i="10"/>
  <c r="Y83" i="10"/>
  <c r="AE83" i="10"/>
  <c r="AJ83" i="10"/>
  <c r="AN83" i="10"/>
  <c r="AS83" i="10"/>
  <c r="AY83" i="10"/>
  <c r="BD83" i="10"/>
  <c r="AF83" i="10"/>
  <c r="AZ83" i="10"/>
  <c r="AK83" i="10"/>
  <c r="BE83" i="10"/>
  <c r="AU83" i="10"/>
  <c r="U83" i="10"/>
  <c r="AO83" i="10"/>
  <c r="AA83" i="10"/>
  <c r="AB98" i="50"/>
  <c r="AF98" i="50"/>
  <c r="AK98" i="50"/>
  <c r="AP98" i="50"/>
  <c r="AT98" i="50"/>
  <c r="AY98" i="50"/>
  <c r="BC98" i="50"/>
  <c r="BH98" i="50"/>
  <c r="BM98" i="50"/>
  <c r="BQ98" i="50"/>
  <c r="AD98" i="50"/>
  <c r="AI98" i="50"/>
  <c r="AM98" i="50"/>
  <c r="AR98" i="50"/>
  <c r="AW98" i="50"/>
  <c r="BA98" i="50"/>
  <c r="BF98" i="50"/>
  <c r="BJ98" i="50"/>
  <c r="BO98" i="50"/>
  <c r="BS98" i="50"/>
  <c r="AH98" i="50"/>
  <c r="AQ98" i="50"/>
  <c r="AZ98" i="50"/>
  <c r="BI98" i="50"/>
  <c r="BR98" i="50"/>
  <c r="AC98" i="50"/>
  <c r="AU98" i="50"/>
  <c r="BE98" i="50"/>
  <c r="BN98" i="50"/>
  <c r="AA98" i="50"/>
  <c r="AS98" i="50"/>
  <c r="BK98" i="50"/>
  <c r="AX98" i="50"/>
  <c r="BP98" i="50"/>
  <c r="AJ98" i="50"/>
  <c r="BB98" i="50"/>
  <c r="AO98" i="50"/>
  <c r="BG98" i="50"/>
  <c r="V84" i="50"/>
  <c r="T84" i="50"/>
  <c r="X84" i="50"/>
  <c r="S84" i="50"/>
  <c r="Y84" i="50"/>
  <c r="W84" i="50"/>
  <c r="U36" i="10"/>
  <c r="Y36" i="10"/>
  <c r="AD36" i="10"/>
  <c r="AI36" i="10"/>
  <c r="AR36" i="10"/>
  <c r="AV36" i="10"/>
  <c r="BA36" i="10"/>
  <c r="BE36" i="10"/>
  <c r="V36" i="10"/>
  <c r="AA36" i="10"/>
  <c r="AJ36" i="10"/>
  <c r="AN36" i="10"/>
  <c r="AS36" i="10"/>
  <c r="AW36" i="10"/>
  <c r="BB36" i="10"/>
  <c r="S36" i="10"/>
  <c r="AB36" i="10"/>
  <c r="AF36" i="10"/>
  <c r="AK36" i="10"/>
  <c r="AO36" i="10"/>
  <c r="AT36" i="10"/>
  <c r="AY36" i="10"/>
  <c r="AC36" i="10"/>
  <c r="X36" i="10"/>
  <c r="AG36" i="10"/>
  <c r="AZ36" i="10"/>
  <c r="AQ36" i="10"/>
  <c r="T36" i="10"/>
  <c r="AL36" i="10"/>
  <c r="BD36" i="10"/>
  <c r="AA37" i="50"/>
  <c r="AJ37" i="50"/>
  <c r="AO37" i="50"/>
  <c r="AX37" i="50"/>
  <c r="BB37" i="50"/>
  <c r="BG37" i="50"/>
  <c r="BK37" i="50"/>
  <c r="BP37" i="50"/>
  <c r="AC37" i="50"/>
  <c r="AH37" i="50"/>
  <c r="AQ37" i="50"/>
  <c r="AU37" i="50"/>
  <c r="AZ37" i="50"/>
  <c r="BE37" i="50"/>
  <c r="BN37" i="50"/>
  <c r="BR37" i="50"/>
  <c r="AI37" i="50"/>
  <c r="AR37" i="50"/>
  <c r="BJ37" i="50"/>
  <c r="BS37" i="50"/>
  <c r="AD37" i="50"/>
  <c r="AW37" i="50"/>
  <c r="BF37" i="50"/>
  <c r="BO37" i="50"/>
  <c r="AY37" i="50"/>
  <c r="AB37" i="50"/>
  <c r="AT37" i="50"/>
  <c r="BM37" i="50"/>
  <c r="BH37" i="50"/>
  <c r="BC37" i="50"/>
  <c r="AK37" i="50"/>
  <c r="AP37" i="50"/>
  <c r="S103" i="50"/>
  <c r="W103" i="50"/>
  <c r="U103" i="50"/>
  <c r="Y103" i="50"/>
  <c r="X103" i="50"/>
  <c r="T103" i="50"/>
  <c r="V103" i="50"/>
  <c r="U33" i="10"/>
  <c r="AA33" i="10"/>
  <c r="AF33" i="10"/>
  <c r="AK33" i="10"/>
  <c r="AQ33" i="10"/>
  <c r="AV33" i="10"/>
  <c r="BA33" i="10"/>
  <c r="BE33" i="10"/>
  <c r="W33" i="10"/>
  <c r="AB33" i="10"/>
  <c r="AG33" i="10"/>
  <c r="AM33" i="10"/>
  <c r="AR33" i="10"/>
  <c r="AW33" i="10"/>
  <c r="S33" i="10"/>
  <c r="X33" i="10"/>
  <c r="AC33" i="10"/>
  <c r="AI33" i="10"/>
  <c r="AN33" i="10"/>
  <c r="AS33" i="10"/>
  <c r="AY33" i="10"/>
  <c r="BC33" i="10"/>
  <c r="Y33" i="10"/>
  <c r="AU33" i="10"/>
  <c r="T33" i="10"/>
  <c r="AE33" i="10"/>
  <c r="AZ33" i="10"/>
  <c r="AJ33" i="10"/>
  <c r="BD33" i="10"/>
  <c r="AO33" i="10"/>
  <c r="AA34" i="50"/>
  <c r="AJ34" i="50"/>
  <c r="AO34" i="50"/>
  <c r="AS34" i="50"/>
  <c r="AX34" i="50"/>
  <c r="BB34" i="50"/>
  <c r="BG34" i="50"/>
  <c r="BK34" i="50"/>
  <c r="BP34" i="50"/>
  <c r="AC34" i="50"/>
  <c r="AH34" i="50"/>
  <c r="AQ34" i="50"/>
  <c r="AU34" i="50"/>
  <c r="AZ34" i="50"/>
  <c r="BE34" i="50"/>
  <c r="BI34" i="50"/>
  <c r="BN34" i="50"/>
  <c r="BR34" i="50"/>
  <c r="AI34" i="50"/>
  <c r="AR34" i="50"/>
  <c r="BA34" i="50"/>
  <c r="BJ34" i="50"/>
  <c r="BS34" i="50"/>
  <c r="AD34" i="50"/>
  <c r="AM34" i="50"/>
  <c r="AW34" i="50"/>
  <c r="BF34" i="50"/>
  <c r="BO34" i="50"/>
  <c r="AP34" i="50"/>
  <c r="BH34" i="50"/>
  <c r="AF34" i="50"/>
  <c r="AY34" i="50"/>
  <c r="BQ34" i="50"/>
  <c r="BC34" i="50"/>
  <c r="AT34" i="50"/>
  <c r="BM34" i="50"/>
  <c r="AB34" i="50"/>
  <c r="AK34" i="50"/>
  <c r="S109" i="50"/>
  <c r="W109" i="50"/>
  <c r="U109" i="50"/>
  <c r="Y109" i="50"/>
  <c r="X109" i="50"/>
  <c r="T109" i="50"/>
  <c r="V109" i="50"/>
  <c r="U40" i="10"/>
  <c r="Y40" i="10"/>
  <c r="AI40" i="10"/>
  <c r="AM40" i="10"/>
  <c r="AR40" i="10"/>
  <c r="AV40" i="10"/>
  <c r="BA40" i="10"/>
  <c r="BE40" i="10"/>
  <c r="AA40" i="10"/>
  <c r="AE40" i="10"/>
  <c r="AJ40" i="10"/>
  <c r="AN40" i="10"/>
  <c r="AS40" i="10"/>
  <c r="AW40" i="10"/>
  <c r="S40" i="10"/>
  <c r="W40" i="10"/>
  <c r="AB40" i="10"/>
  <c r="AF40" i="10"/>
  <c r="AK40" i="10"/>
  <c r="AO40" i="10"/>
  <c r="AY40" i="10"/>
  <c r="BC40" i="10"/>
  <c r="AG40" i="10"/>
  <c r="AZ40" i="10"/>
  <c r="T40" i="10"/>
  <c r="BD40" i="10"/>
  <c r="AU40" i="10"/>
  <c r="X40" i="10"/>
  <c r="AQ40" i="10"/>
  <c r="AC40" i="10"/>
  <c r="AH41" i="50"/>
  <c r="AQ41" i="50"/>
  <c r="AU41" i="50"/>
  <c r="BE41" i="50"/>
  <c r="BJ41" i="50"/>
  <c r="BO41" i="50"/>
  <c r="BS41" i="50"/>
  <c r="AA41" i="50"/>
  <c r="AO41" i="50"/>
  <c r="AS41" i="50"/>
  <c r="AX41" i="50"/>
  <c r="BB41" i="50"/>
  <c r="BG41" i="50"/>
  <c r="BM41" i="50"/>
  <c r="BQ41" i="50"/>
  <c r="AB41" i="50"/>
  <c r="AK41" i="50"/>
  <c r="AT41" i="50"/>
  <c r="BC41" i="50"/>
  <c r="BN41" i="50"/>
  <c r="AF41" i="50"/>
  <c r="AP41" i="50"/>
  <c r="AY41" i="50"/>
  <c r="BI41" i="50"/>
  <c r="BR41" i="50"/>
  <c r="AI41" i="50"/>
  <c r="BA41" i="50"/>
  <c r="AD41" i="50"/>
  <c r="AW41" i="50"/>
  <c r="BP41" i="50"/>
  <c r="BK41" i="50"/>
  <c r="BF41" i="50"/>
  <c r="AM41" i="50"/>
  <c r="U42" i="50"/>
  <c r="Y42" i="50"/>
  <c r="S42" i="50"/>
  <c r="W42" i="50"/>
  <c r="T42" i="50"/>
  <c r="X42" i="50"/>
  <c r="V43" i="50"/>
  <c r="T43" i="50"/>
  <c r="X43" i="50"/>
  <c r="U43" i="50"/>
  <c r="Y43" i="50"/>
  <c r="S43" i="50"/>
  <c r="W43" i="50"/>
  <c r="AA45" i="10"/>
  <c r="AE45" i="10"/>
  <c r="AJ45" i="10"/>
  <c r="AN45" i="10"/>
  <c r="AS45" i="10"/>
  <c r="AW45" i="10"/>
  <c r="S45" i="10"/>
  <c r="W45" i="10"/>
  <c r="AB45" i="10"/>
  <c r="AF45" i="10"/>
  <c r="AK45" i="10"/>
  <c r="AO45" i="10"/>
  <c r="AY45" i="10"/>
  <c r="BC45" i="10"/>
  <c r="T45" i="10"/>
  <c r="X45" i="10"/>
  <c r="AC45" i="10"/>
  <c r="AG45" i="10"/>
  <c r="AQ45" i="10"/>
  <c r="AU45" i="10"/>
  <c r="AZ45" i="10"/>
  <c r="BD45" i="10"/>
  <c r="U45" i="10"/>
  <c r="AM45" i="10"/>
  <c r="BE45" i="10"/>
  <c r="Y45" i="10"/>
  <c r="AR45" i="10"/>
  <c r="BA45" i="10"/>
  <c r="AV45" i="10"/>
  <c r="AI45" i="10"/>
  <c r="AB46" i="50"/>
  <c r="AF46" i="50"/>
  <c r="AK46" i="50"/>
  <c r="AP46" i="50"/>
  <c r="AT46" i="50"/>
  <c r="AY46" i="50"/>
  <c r="BC46" i="50"/>
  <c r="BI46" i="50"/>
  <c r="BN46" i="50"/>
  <c r="BR46" i="50"/>
  <c r="AD46" i="50"/>
  <c r="AI46" i="50"/>
  <c r="AM46" i="50"/>
  <c r="AW46" i="50"/>
  <c r="BA46" i="50"/>
  <c r="BF46" i="50"/>
  <c r="BK46" i="50"/>
  <c r="BP46" i="50"/>
  <c r="AO46" i="50"/>
  <c r="AX46" i="50"/>
  <c r="BG46" i="50"/>
  <c r="BQ46" i="50"/>
  <c r="AA46" i="50"/>
  <c r="AS46" i="50"/>
  <c r="BB46" i="50"/>
  <c r="BM46" i="50"/>
  <c r="BE46" i="50"/>
  <c r="AH46" i="50"/>
  <c r="BS46" i="50"/>
  <c r="AU46" i="50"/>
  <c r="AQ46" i="50"/>
  <c r="BJ46" i="50"/>
  <c r="BO46" i="50"/>
  <c r="S85" i="50"/>
  <c r="W85" i="50"/>
  <c r="U85" i="50"/>
  <c r="Y85" i="50"/>
  <c r="V85" i="50"/>
  <c r="T85" i="50"/>
  <c r="X85" i="50"/>
  <c r="T87" i="10"/>
  <c r="X87" i="10"/>
  <c r="AC87" i="10"/>
  <c r="AG87" i="10"/>
  <c r="AL87" i="10"/>
  <c r="AQ87" i="10"/>
  <c r="AU87" i="10"/>
  <c r="AZ87" i="10"/>
  <c r="BD87" i="10"/>
  <c r="U87" i="10"/>
  <c r="Y87" i="10"/>
  <c r="AD87" i="10"/>
  <c r="AI87" i="10"/>
  <c r="AM87" i="10"/>
  <c r="AR87" i="10"/>
  <c r="AV87" i="10"/>
  <c r="BA87" i="10"/>
  <c r="BE87" i="10"/>
  <c r="V87" i="10"/>
  <c r="AA87" i="10"/>
  <c r="AE87" i="10"/>
  <c r="AJ87" i="10"/>
  <c r="AN87" i="10"/>
  <c r="AS87" i="10"/>
  <c r="AW87" i="10"/>
  <c r="BB87" i="10"/>
  <c r="AB87" i="10"/>
  <c r="AT87" i="10"/>
  <c r="AO87" i="10"/>
  <c r="AF87" i="10"/>
  <c r="AY87" i="10"/>
  <c r="S87" i="10"/>
  <c r="AK87" i="10"/>
  <c r="BC87" i="10"/>
  <c r="W87" i="10"/>
  <c r="AB88" i="50"/>
  <c r="AF88" i="50"/>
  <c r="AK88" i="50"/>
  <c r="AT88" i="50"/>
  <c r="AY88" i="50"/>
  <c r="BC88" i="50"/>
  <c r="BH88" i="50"/>
  <c r="BM88" i="50"/>
  <c r="BQ88" i="50"/>
  <c r="AD88" i="50"/>
  <c r="AI88" i="50"/>
  <c r="AM88" i="50"/>
  <c r="AR88" i="50"/>
  <c r="AW88" i="50"/>
  <c r="BA88" i="50"/>
  <c r="BJ88" i="50"/>
  <c r="BO88" i="50"/>
  <c r="BS88" i="50"/>
  <c r="AO88" i="50"/>
  <c r="AX88" i="50"/>
  <c r="BG88" i="50"/>
  <c r="BP88" i="50"/>
  <c r="AC88" i="50"/>
  <c r="AU88" i="50"/>
  <c r="BE88" i="50"/>
  <c r="AS88" i="50"/>
  <c r="BK88" i="50"/>
  <c r="AH88" i="50"/>
  <c r="AZ88" i="50"/>
  <c r="BR88" i="50"/>
  <c r="AJ88" i="50"/>
  <c r="BB88" i="50"/>
  <c r="BI88" i="50"/>
  <c r="AQ88" i="50"/>
  <c r="S89" i="50"/>
  <c r="W89" i="50"/>
  <c r="U89" i="50"/>
  <c r="Y89" i="50"/>
  <c r="V89" i="50"/>
  <c r="T89" i="50"/>
  <c r="X89" i="50"/>
  <c r="T102" i="10"/>
  <c r="X102" i="10"/>
  <c r="AC102" i="10"/>
  <c r="AG102" i="10"/>
  <c r="AL102" i="10"/>
  <c r="AQ102" i="10"/>
  <c r="AU102" i="10"/>
  <c r="AZ102" i="10"/>
  <c r="BD102" i="10"/>
  <c r="W102" i="10"/>
  <c r="AO102" i="10"/>
  <c r="BC102" i="10"/>
  <c r="U102" i="10"/>
  <c r="Y102" i="10"/>
  <c r="AD102" i="10"/>
  <c r="AI102" i="10"/>
  <c r="AM102" i="10"/>
  <c r="AR102" i="10"/>
  <c r="AV102" i="10"/>
  <c r="BA102" i="10"/>
  <c r="BE102" i="10"/>
  <c r="S102" i="10"/>
  <c r="AF102" i="10"/>
  <c r="AT102" i="10"/>
  <c r="V102" i="10"/>
  <c r="AA102" i="10"/>
  <c r="AE102" i="10"/>
  <c r="AJ102" i="10"/>
  <c r="AN102" i="10"/>
  <c r="AS102" i="10"/>
  <c r="AW102" i="10"/>
  <c r="BB102" i="10"/>
  <c r="AB102" i="10"/>
  <c r="AK102" i="10"/>
  <c r="AY102" i="10"/>
  <c r="AA96" i="50"/>
  <c r="AJ96" i="50"/>
  <c r="AO96" i="50"/>
  <c r="AS96" i="50"/>
  <c r="AX96" i="50"/>
  <c r="BB96" i="50"/>
  <c r="BG96" i="50"/>
  <c r="BK96" i="50"/>
  <c r="BP96" i="50"/>
  <c r="AC96" i="50"/>
  <c r="AH96" i="50"/>
  <c r="AQ96" i="50"/>
  <c r="AU96" i="50"/>
  <c r="AZ96" i="50"/>
  <c r="BE96" i="50"/>
  <c r="BI96" i="50"/>
  <c r="BN96" i="50"/>
  <c r="BR96" i="50"/>
  <c r="AF96" i="50"/>
  <c r="AP96" i="50"/>
  <c r="AY96" i="50"/>
  <c r="BH96" i="50"/>
  <c r="BQ96" i="50"/>
  <c r="AB96" i="50"/>
  <c r="AK96" i="50"/>
  <c r="AT96" i="50"/>
  <c r="BC96" i="50"/>
  <c r="BM96" i="50"/>
  <c r="AR96" i="50"/>
  <c r="BJ96" i="50"/>
  <c r="AD96" i="50"/>
  <c r="AW96" i="50"/>
  <c r="BO96" i="50"/>
  <c r="AI96" i="50"/>
  <c r="BA96" i="50"/>
  <c r="BS96" i="50"/>
  <c r="AM96" i="50"/>
  <c r="BF96" i="50"/>
  <c r="V97" i="50"/>
  <c r="T97" i="50"/>
  <c r="X97" i="50"/>
  <c r="W97" i="50"/>
  <c r="S97" i="50"/>
  <c r="Y97" i="50"/>
  <c r="U97" i="50"/>
  <c r="T55" i="10"/>
  <c r="X55" i="10"/>
  <c r="AG55" i="10"/>
  <c r="AL55" i="10"/>
  <c r="AQ55" i="10"/>
  <c r="AU55" i="10"/>
  <c r="AZ55" i="10"/>
  <c r="BD55" i="10"/>
  <c r="Y55" i="10"/>
  <c r="AD55" i="10"/>
  <c r="AI55" i="10"/>
  <c r="AM55" i="10"/>
  <c r="AR55" i="10"/>
  <c r="AV55" i="10"/>
  <c r="BE55" i="10"/>
  <c r="V55" i="10"/>
  <c r="AA55" i="10"/>
  <c r="AE55" i="10"/>
  <c r="AJ55" i="10"/>
  <c r="AN55" i="10"/>
  <c r="AW55" i="10"/>
  <c r="BB55" i="10"/>
  <c r="AF55" i="10"/>
  <c r="AY55" i="10"/>
  <c r="AB55" i="10"/>
  <c r="S55" i="10"/>
  <c r="BC55" i="10"/>
  <c r="W55" i="10"/>
  <c r="AO55" i="10"/>
  <c r="AT55" i="10"/>
  <c r="AA56" i="50"/>
  <c r="AJ56" i="50"/>
  <c r="AO56" i="50"/>
  <c r="AC56" i="50"/>
  <c r="AH56" i="50"/>
  <c r="AI56" i="50"/>
  <c r="AQ56" i="50"/>
  <c r="AU56" i="50"/>
  <c r="AZ56" i="50"/>
  <c r="BE56" i="50"/>
  <c r="BJ56" i="50"/>
  <c r="BO56" i="50"/>
  <c r="BS56" i="50"/>
  <c r="AD56" i="50"/>
  <c r="AM56" i="50"/>
  <c r="AS56" i="50"/>
  <c r="AX56" i="50"/>
  <c r="BB56" i="50"/>
  <c r="BG56" i="50"/>
  <c r="BM56" i="50"/>
  <c r="BQ56" i="50"/>
  <c r="AP56" i="50"/>
  <c r="AY56" i="50"/>
  <c r="BH56" i="50"/>
  <c r="BR56" i="50"/>
  <c r="AK56" i="50"/>
  <c r="AT56" i="50"/>
  <c r="BF56" i="50"/>
  <c r="AR56" i="50"/>
  <c r="BC56" i="50"/>
  <c r="BP56" i="50"/>
  <c r="BA56" i="50"/>
  <c r="AB56" i="50"/>
  <c r="BK56" i="50"/>
  <c r="AF56" i="50"/>
  <c r="BN56" i="50"/>
  <c r="AW56" i="50"/>
  <c r="T47" i="50"/>
  <c r="X47" i="50"/>
  <c r="W47" i="50"/>
  <c r="S47" i="50"/>
  <c r="U47" i="50"/>
  <c r="Y47" i="50"/>
  <c r="U93" i="10"/>
  <c r="AE93" i="10"/>
  <c r="AK93" i="10"/>
  <c r="AU93" i="10"/>
  <c r="BA93" i="10"/>
  <c r="V93" i="10"/>
  <c r="AB93" i="10"/>
  <c r="AF93" i="10"/>
  <c r="AL93" i="10"/>
  <c r="AR93" i="10"/>
  <c r="AV93" i="10"/>
  <c r="BB93" i="10"/>
  <c r="W93" i="10"/>
  <c r="AC93" i="10"/>
  <c r="AM93" i="10"/>
  <c r="AS93" i="10"/>
  <c r="BC93" i="10"/>
  <c r="X93" i="10"/>
  <c r="AT93" i="10"/>
  <c r="AD93" i="10"/>
  <c r="AZ93" i="10"/>
  <c r="AN93" i="10"/>
  <c r="AJ93" i="10"/>
  <c r="BD93" i="10"/>
  <c r="T93" i="10"/>
  <c r="AA67" i="50"/>
  <c r="AJ67" i="50"/>
  <c r="AO67" i="50"/>
  <c r="AS67" i="50"/>
  <c r="AX67" i="50"/>
  <c r="BB67" i="50"/>
  <c r="BG67" i="50"/>
  <c r="BK67" i="50"/>
  <c r="BP67" i="50"/>
  <c r="AH67" i="50"/>
  <c r="AQ67" i="50"/>
  <c r="AU67" i="50"/>
  <c r="AZ67" i="50"/>
  <c r="BE67" i="50"/>
  <c r="BI67" i="50"/>
  <c r="BN67" i="50"/>
  <c r="BR67" i="50"/>
  <c r="AD67" i="50"/>
  <c r="AM67" i="50"/>
  <c r="AW67" i="50"/>
  <c r="BF67" i="50"/>
  <c r="BO67" i="50"/>
  <c r="AB67" i="50"/>
  <c r="AK67" i="50"/>
  <c r="BC67" i="50"/>
  <c r="BM67" i="50"/>
  <c r="AR67" i="50"/>
  <c r="AF67" i="50"/>
  <c r="AY67" i="50"/>
  <c r="BQ67" i="50"/>
  <c r="AI67" i="50"/>
  <c r="BA67" i="50"/>
  <c r="BS67" i="50"/>
  <c r="BH67" i="50"/>
  <c r="AP67" i="50"/>
  <c r="V68" i="50"/>
  <c r="T68" i="50"/>
  <c r="U68" i="50"/>
  <c r="S68" i="50"/>
  <c r="Y68" i="50"/>
  <c r="W68" i="50"/>
  <c r="V70" i="10"/>
  <c r="AA70" i="10"/>
  <c r="AE70" i="10"/>
  <c r="AJ70" i="10"/>
  <c r="AS70" i="10"/>
  <c r="AW70" i="10"/>
  <c r="BB70" i="10"/>
  <c r="S70" i="10"/>
  <c r="W70" i="10"/>
  <c r="AB70" i="10"/>
  <c r="AK70" i="10"/>
  <c r="AO70" i="10"/>
  <c r="AT70" i="10"/>
  <c r="AY70" i="10"/>
  <c r="BC70" i="10"/>
  <c r="T70" i="10"/>
  <c r="AC70" i="10"/>
  <c r="AG70" i="10"/>
  <c r="AL70" i="10"/>
  <c r="AQ70" i="10"/>
  <c r="AU70" i="10"/>
  <c r="AZ70" i="10"/>
  <c r="Y70" i="10"/>
  <c r="AR70" i="10"/>
  <c r="U70" i="10"/>
  <c r="BE70" i="10"/>
  <c r="AD70" i="10"/>
  <c r="AI70" i="10"/>
  <c r="BA70" i="10"/>
  <c r="AM70" i="10"/>
  <c r="AA71" i="50"/>
  <c r="AJ71" i="50"/>
  <c r="AO71" i="50"/>
  <c r="AS71" i="50"/>
  <c r="AX71" i="50"/>
  <c r="BB71" i="50"/>
  <c r="BG71" i="50"/>
  <c r="BK71" i="50"/>
  <c r="BP71" i="50"/>
  <c r="AC71" i="50"/>
  <c r="AH71" i="50"/>
  <c r="AQ71" i="50"/>
  <c r="AU71" i="50"/>
  <c r="AZ71" i="50"/>
  <c r="BE71" i="50"/>
  <c r="BI71" i="50"/>
  <c r="BN71" i="50"/>
  <c r="BR71" i="50"/>
  <c r="AD71" i="50"/>
  <c r="AM71" i="50"/>
  <c r="AW71" i="50"/>
  <c r="BF71" i="50"/>
  <c r="BO71" i="50"/>
  <c r="AB71" i="50"/>
  <c r="AK71" i="50"/>
  <c r="AT71" i="50"/>
  <c r="BC71" i="50"/>
  <c r="BM71" i="50"/>
  <c r="AR71" i="50"/>
  <c r="BJ71" i="50"/>
  <c r="AF71" i="50"/>
  <c r="AY71" i="50"/>
  <c r="BQ71" i="50"/>
  <c r="AI71" i="50"/>
  <c r="BA71" i="50"/>
  <c r="BS71" i="50"/>
  <c r="BH71" i="50"/>
  <c r="AP71" i="50"/>
  <c r="V73" i="50"/>
  <c r="T73" i="50"/>
  <c r="U73" i="50"/>
  <c r="S73" i="50"/>
  <c r="Y73" i="50"/>
  <c r="W73" i="50"/>
  <c r="U48" i="10"/>
  <c r="Y48" i="10"/>
  <c r="AI48" i="10"/>
  <c r="AM48" i="10"/>
  <c r="AR48" i="10"/>
  <c r="AV48" i="10"/>
  <c r="BA48" i="10"/>
  <c r="BE48" i="10"/>
  <c r="AA48" i="10"/>
  <c r="AE48" i="10"/>
  <c r="AJ48" i="10"/>
  <c r="AN48" i="10"/>
  <c r="AS48" i="10"/>
  <c r="AW48" i="10"/>
  <c r="S48" i="10"/>
  <c r="W48" i="10"/>
  <c r="AB48" i="10"/>
  <c r="AF48" i="10"/>
  <c r="AK48" i="10"/>
  <c r="AO48" i="10"/>
  <c r="AY48" i="10"/>
  <c r="BC48" i="10"/>
  <c r="X48" i="10"/>
  <c r="AQ48" i="10"/>
  <c r="T48" i="10"/>
  <c r="AC48" i="10"/>
  <c r="AU48" i="10"/>
  <c r="BD48" i="10"/>
  <c r="AG48" i="10"/>
  <c r="AZ48" i="10"/>
  <c r="AH49" i="50"/>
  <c r="AQ49" i="50"/>
  <c r="AU49" i="50"/>
  <c r="AZ49" i="50"/>
  <c r="BE49" i="50"/>
  <c r="BI49" i="50"/>
  <c r="BN49" i="50"/>
  <c r="BR49" i="50"/>
  <c r="AA49" i="50"/>
  <c r="AJ49" i="50"/>
  <c r="AO49" i="50"/>
  <c r="AS49" i="50"/>
  <c r="AX49" i="50"/>
  <c r="BB49" i="50"/>
  <c r="BG49" i="50"/>
  <c r="BK49" i="50"/>
  <c r="BP49" i="50"/>
  <c r="AF49" i="50"/>
  <c r="AP49" i="50"/>
  <c r="AY49" i="50"/>
  <c r="BQ49" i="50"/>
  <c r="AB49" i="50"/>
  <c r="AK49" i="50"/>
  <c r="AT49" i="50"/>
  <c r="BC49" i="50"/>
  <c r="BM49" i="50"/>
  <c r="AM49" i="50"/>
  <c r="BF49" i="50"/>
  <c r="AI49" i="50"/>
  <c r="BA49" i="50"/>
  <c r="BS49" i="50"/>
  <c r="AD49" i="50"/>
  <c r="BO49" i="50"/>
  <c r="BJ49" i="50"/>
  <c r="AW49" i="50"/>
  <c r="T50" i="50"/>
  <c r="X50" i="50"/>
  <c r="W50" i="50"/>
  <c r="S50" i="50"/>
  <c r="U50" i="50"/>
  <c r="Y50" i="50"/>
  <c r="W105" i="10"/>
  <c r="AB105" i="10"/>
  <c r="AF105" i="10"/>
  <c r="AK105" i="10"/>
  <c r="AT105" i="10"/>
  <c r="AY105" i="10"/>
  <c r="BC105" i="10"/>
  <c r="AE105" i="10"/>
  <c r="AN105" i="10"/>
  <c r="BB105" i="10"/>
  <c r="T105" i="10"/>
  <c r="X105" i="10"/>
  <c r="AC105" i="10"/>
  <c r="AL105" i="10"/>
  <c r="AQ105" i="10"/>
  <c r="AU105" i="10"/>
  <c r="AZ105" i="10"/>
  <c r="BD105" i="10"/>
  <c r="V105" i="10"/>
  <c r="AJ105" i="10"/>
  <c r="U105" i="10"/>
  <c r="AD105" i="10"/>
  <c r="AM105" i="10"/>
  <c r="AR105" i="10"/>
  <c r="AV105" i="10"/>
  <c r="BA105" i="10"/>
  <c r="AS105" i="10"/>
  <c r="AB106" i="50"/>
  <c r="AF106" i="50"/>
  <c r="AK106" i="50"/>
  <c r="AP106" i="50"/>
  <c r="AT106" i="50"/>
  <c r="AY106" i="50"/>
  <c r="BC106" i="50"/>
  <c r="BH106" i="50"/>
  <c r="BM106" i="50"/>
  <c r="BQ106" i="50"/>
  <c r="AD106" i="50"/>
  <c r="AI106" i="50"/>
  <c r="AM106" i="50"/>
  <c r="AR106" i="50"/>
  <c r="BA106" i="50"/>
  <c r="BF106" i="50"/>
  <c r="BJ106" i="50"/>
  <c r="BO106" i="50"/>
  <c r="BS106" i="50"/>
  <c r="AH106" i="50"/>
  <c r="AQ106" i="50"/>
  <c r="AZ106" i="50"/>
  <c r="BI106" i="50"/>
  <c r="BR106" i="50"/>
  <c r="AC106" i="50"/>
  <c r="AU106" i="50"/>
  <c r="BE106" i="50"/>
  <c r="BN106" i="50"/>
  <c r="AA106" i="50"/>
  <c r="AS106" i="50"/>
  <c r="BK106" i="50"/>
  <c r="AX106" i="50"/>
  <c r="BP106" i="50"/>
  <c r="AJ106" i="50"/>
  <c r="BB106" i="50"/>
  <c r="BG106" i="50"/>
  <c r="S107" i="50"/>
  <c r="W107" i="50"/>
  <c r="U107" i="50"/>
  <c r="Y107" i="50"/>
  <c r="X107" i="50"/>
  <c r="T107" i="50"/>
  <c r="V107" i="50"/>
  <c r="V108" i="10"/>
  <c r="AE108" i="10"/>
  <c r="AJ108" i="10"/>
  <c r="AN108" i="10"/>
  <c r="AS108" i="10"/>
  <c r="AW108" i="10"/>
  <c r="BB108" i="10"/>
  <c r="AD108" i="10"/>
  <c r="AR108" i="10"/>
  <c r="BE108" i="10"/>
  <c r="W108" i="10"/>
  <c r="AB108" i="10"/>
  <c r="AF108" i="10"/>
  <c r="AK108" i="10"/>
  <c r="AO108" i="10"/>
  <c r="AT108" i="10"/>
  <c r="BC108" i="10"/>
  <c r="U108" i="10"/>
  <c r="AV108" i="10"/>
  <c r="BA108" i="10"/>
  <c r="T108" i="10"/>
  <c r="X108" i="10"/>
  <c r="AC108" i="10"/>
  <c r="AG108" i="10"/>
  <c r="AL108" i="10"/>
  <c r="AU108" i="10"/>
  <c r="AZ108" i="10"/>
  <c r="BD108" i="10"/>
  <c r="Y108" i="10"/>
  <c r="AM108" i="10"/>
  <c r="U111" i="10"/>
  <c r="Y111" i="10"/>
  <c r="AD111" i="10"/>
  <c r="AI111" i="10"/>
  <c r="AM111" i="10"/>
  <c r="AV111" i="10"/>
  <c r="BA111" i="10"/>
  <c r="BE111" i="10"/>
  <c r="AC111" i="10"/>
  <c r="AQ111" i="10"/>
  <c r="V111" i="10"/>
  <c r="AA111" i="10"/>
  <c r="AE111" i="10"/>
  <c r="AN111" i="10"/>
  <c r="AS111" i="10"/>
  <c r="AW111" i="10"/>
  <c r="BB111" i="10"/>
  <c r="AG111" i="10"/>
  <c r="AU111" i="10"/>
  <c r="S111" i="10"/>
  <c r="W111" i="10"/>
  <c r="AF111" i="10"/>
  <c r="AK111" i="10"/>
  <c r="AO111" i="10"/>
  <c r="AT111" i="10"/>
  <c r="AY111" i="10"/>
  <c r="BC111" i="10"/>
  <c r="X111" i="10"/>
  <c r="AL111" i="10"/>
  <c r="BD111" i="10"/>
  <c r="W113" i="10"/>
  <c r="AB113" i="10"/>
  <c r="AF113" i="10"/>
  <c r="AK113" i="10"/>
  <c r="AO113" i="10"/>
  <c r="AT113" i="10"/>
  <c r="BC113" i="10"/>
  <c r="AW113" i="10"/>
  <c r="T113" i="10"/>
  <c r="X113" i="10"/>
  <c r="AC113" i="10"/>
  <c r="AG113" i="10"/>
  <c r="AL113" i="10"/>
  <c r="AU113" i="10"/>
  <c r="AZ113" i="10"/>
  <c r="BD113" i="10"/>
  <c r="V113" i="10"/>
  <c r="AJ113" i="10"/>
  <c r="AN113" i="10"/>
  <c r="BB113" i="10"/>
  <c r="U113" i="10"/>
  <c r="Y113" i="10"/>
  <c r="AD113" i="10"/>
  <c r="AM113" i="10"/>
  <c r="AR113" i="10"/>
  <c r="AV113" i="10"/>
  <c r="BA113" i="10"/>
  <c r="BE113" i="10"/>
  <c r="AE113" i="10"/>
  <c r="AS113" i="10"/>
  <c r="V116" i="10"/>
  <c r="AE116" i="10"/>
  <c r="AJ116" i="10"/>
  <c r="AN116" i="10"/>
  <c r="AS116" i="10"/>
  <c r="AW116" i="10"/>
  <c r="BB116" i="10"/>
  <c r="AD116" i="10"/>
  <c r="AR116" i="10"/>
  <c r="BE116" i="10"/>
  <c r="W116" i="10"/>
  <c r="AB116" i="10"/>
  <c r="AF116" i="10"/>
  <c r="AK116" i="10"/>
  <c r="AO116" i="10"/>
  <c r="AT116" i="10"/>
  <c r="BC116" i="10"/>
  <c r="U116" i="10"/>
  <c r="AV116" i="10"/>
  <c r="T116" i="10"/>
  <c r="X116" i="10"/>
  <c r="AC116" i="10"/>
  <c r="AG116" i="10"/>
  <c r="AL116" i="10"/>
  <c r="AU116" i="10"/>
  <c r="AZ116" i="10"/>
  <c r="BD116" i="10"/>
  <c r="Y116" i="10"/>
  <c r="AM116" i="10"/>
  <c r="BA116" i="10"/>
  <c r="U119" i="10"/>
  <c r="Y119" i="10"/>
  <c r="AD119" i="10"/>
  <c r="AM119" i="10"/>
  <c r="AR119" i="10"/>
  <c r="AV119" i="10"/>
  <c r="BA119" i="10"/>
  <c r="BE119" i="10"/>
  <c r="T119" i="10"/>
  <c r="AG119" i="10"/>
  <c r="AU119" i="10"/>
  <c r="V119" i="10"/>
  <c r="AE119" i="10"/>
  <c r="AJ119" i="10"/>
  <c r="AN119" i="10"/>
  <c r="AS119" i="10"/>
  <c r="AW119" i="10"/>
  <c r="BB119" i="10"/>
  <c r="AC119" i="10"/>
  <c r="BD119" i="10"/>
  <c r="W119" i="10"/>
  <c r="AB119" i="10"/>
  <c r="AF119" i="10"/>
  <c r="AK119" i="10"/>
  <c r="AO119" i="10"/>
  <c r="AT119" i="10"/>
  <c r="BC119" i="10"/>
  <c r="X119" i="10"/>
  <c r="AL119" i="10"/>
  <c r="AZ119" i="10"/>
  <c r="V53" i="10"/>
  <c r="AA53" i="10"/>
  <c r="AE53" i="10"/>
  <c r="AJ53" i="10"/>
  <c r="AN53" i="10"/>
  <c r="AS53" i="10"/>
  <c r="AW53" i="10"/>
  <c r="BB53" i="10"/>
  <c r="BG53" i="10"/>
  <c r="BP53" i="10"/>
  <c r="S53" i="10"/>
  <c r="W53" i="10"/>
  <c r="AB53" i="10"/>
  <c r="AF53" i="10"/>
  <c r="AK53" i="10"/>
  <c r="AO53" i="10"/>
  <c r="AT53" i="10"/>
  <c r="AY53" i="10"/>
  <c r="BC53" i="10"/>
  <c r="BH53" i="10"/>
  <c r="BL53" i="10"/>
  <c r="BQ53" i="10"/>
  <c r="T53" i="10"/>
  <c r="X53" i="10"/>
  <c r="AC53" i="10"/>
  <c r="AG53" i="10"/>
  <c r="AL53" i="10"/>
  <c r="AQ53" i="10"/>
  <c r="AU53" i="10"/>
  <c r="AZ53" i="10"/>
  <c r="BD53" i="10"/>
  <c r="BI53" i="10"/>
  <c r="BN53" i="10"/>
  <c r="AD53" i="10"/>
  <c r="AV53" i="10"/>
  <c r="BO53" i="10"/>
  <c r="BJ53" i="10"/>
  <c r="AI53" i="10"/>
  <c r="BA53" i="10"/>
  <c r="BS53" i="10"/>
  <c r="AR53" i="10"/>
  <c r="U53" i="10"/>
  <c r="AM53" i="10"/>
  <c r="BE53" i="10"/>
  <c r="Y53" i="10"/>
  <c r="BB127" i="50"/>
  <c r="AE127" i="50"/>
  <c r="BN127" i="50"/>
  <c r="AC127" i="50"/>
  <c r="AQ127" i="50"/>
  <c r="BJ127" i="50"/>
  <c r="AR127" i="50"/>
  <c r="BQ127" i="50"/>
  <c r="AY127" i="50"/>
  <c r="AF127" i="50"/>
  <c r="W127" i="50"/>
  <c r="T32" i="50"/>
  <c r="X32" i="50"/>
  <c r="V32" i="50"/>
  <c r="W32" i="50"/>
  <c r="S32" i="50"/>
  <c r="U32" i="50"/>
  <c r="Y32" i="50"/>
  <c r="V17" i="50"/>
  <c r="T17" i="50"/>
  <c r="X17" i="50"/>
  <c r="Y17" i="50"/>
  <c r="U17" i="50"/>
  <c r="W17" i="50"/>
  <c r="S17" i="50"/>
  <c r="AA21" i="50"/>
  <c r="AJ21" i="50"/>
  <c r="AO21" i="50"/>
  <c r="AS21" i="50"/>
  <c r="AX21" i="50"/>
  <c r="BB21" i="50"/>
  <c r="BG21" i="50"/>
  <c r="BK21" i="50"/>
  <c r="BP21" i="50"/>
  <c r="AC21" i="50"/>
  <c r="AH21" i="50"/>
  <c r="AQ21" i="50"/>
  <c r="AU21" i="50"/>
  <c r="AZ21" i="50"/>
  <c r="BE21" i="50"/>
  <c r="BI21" i="50"/>
  <c r="BN21" i="50"/>
  <c r="BR21" i="50"/>
  <c r="AI21" i="50"/>
  <c r="AR21" i="50"/>
  <c r="BA21" i="50"/>
  <c r="BJ21" i="50"/>
  <c r="BS21" i="50"/>
  <c r="AD21" i="50"/>
  <c r="AM21" i="50"/>
  <c r="AW21" i="50"/>
  <c r="BF21" i="50"/>
  <c r="BO21" i="50"/>
  <c r="AF21" i="50"/>
  <c r="AY21" i="50"/>
  <c r="BQ21" i="50"/>
  <c r="AP21" i="50"/>
  <c r="BH21" i="50"/>
  <c r="AB21" i="50"/>
  <c r="BM21" i="50"/>
  <c r="AT21" i="50"/>
  <c r="BC21" i="50"/>
  <c r="AK21" i="50"/>
  <c r="AA84" i="50"/>
  <c r="AJ84" i="50"/>
  <c r="AO84" i="50"/>
  <c r="AS84" i="50"/>
  <c r="AX84" i="50"/>
  <c r="BB84" i="50"/>
  <c r="BG84" i="50"/>
  <c r="BK84" i="50"/>
  <c r="BP84" i="50"/>
  <c r="AC84" i="50"/>
  <c r="AH84" i="50"/>
  <c r="AQ84" i="50"/>
  <c r="AU84" i="50"/>
  <c r="AZ84" i="50"/>
  <c r="BE84" i="50"/>
  <c r="BI84" i="50"/>
  <c r="BN84" i="50"/>
  <c r="BR84" i="50"/>
  <c r="AD84" i="50"/>
  <c r="AM84" i="50"/>
  <c r="AW84" i="50"/>
  <c r="BF84" i="50"/>
  <c r="BO84" i="50"/>
  <c r="AB84" i="50"/>
  <c r="AK84" i="50"/>
  <c r="AT84" i="50"/>
  <c r="BC84" i="50"/>
  <c r="BM84" i="50"/>
  <c r="AR84" i="50"/>
  <c r="BJ84" i="50"/>
  <c r="AF84" i="50"/>
  <c r="AY84" i="50"/>
  <c r="BQ84" i="50"/>
  <c r="AI84" i="50"/>
  <c r="BA84" i="50"/>
  <c r="BS84" i="50"/>
  <c r="BH84" i="50"/>
  <c r="AP84" i="50"/>
  <c r="AB103" i="50"/>
  <c r="AF103" i="50"/>
  <c r="AK103" i="50"/>
  <c r="AP103" i="50"/>
  <c r="AT103" i="50"/>
  <c r="AY103" i="50"/>
  <c r="BC103" i="50"/>
  <c r="BH103" i="50"/>
  <c r="BQ103" i="50"/>
  <c r="AD103" i="50"/>
  <c r="AI103" i="50"/>
  <c r="AM103" i="50"/>
  <c r="AR103" i="50"/>
  <c r="BA103" i="50"/>
  <c r="BF103" i="50"/>
  <c r="BJ103" i="50"/>
  <c r="BO103" i="50"/>
  <c r="BS103" i="50"/>
  <c r="AH103" i="50"/>
  <c r="AQ103" i="50"/>
  <c r="AZ103" i="50"/>
  <c r="BI103" i="50"/>
  <c r="BR103" i="50"/>
  <c r="AC103" i="50"/>
  <c r="AU103" i="50"/>
  <c r="BN103" i="50"/>
  <c r="AA103" i="50"/>
  <c r="AS103" i="50"/>
  <c r="BK103" i="50"/>
  <c r="AX103" i="50"/>
  <c r="BP103" i="50"/>
  <c r="AJ103" i="50"/>
  <c r="BB103" i="50"/>
  <c r="BG103" i="50"/>
  <c r="AB109" i="50"/>
  <c r="AF109" i="50"/>
  <c r="AK109" i="50"/>
  <c r="AP109" i="50"/>
  <c r="AT109" i="50"/>
  <c r="AY109" i="50"/>
  <c r="BC109" i="50"/>
  <c r="BH109" i="50"/>
  <c r="BM109" i="50"/>
  <c r="BQ109" i="50"/>
  <c r="AD109" i="50"/>
  <c r="AI109" i="50"/>
  <c r="AM109" i="50"/>
  <c r="AR109" i="50"/>
  <c r="AW109" i="50"/>
  <c r="BA109" i="50"/>
  <c r="BF109" i="50"/>
  <c r="BJ109" i="50"/>
  <c r="BO109" i="50"/>
  <c r="BS109" i="50"/>
  <c r="AH109" i="50"/>
  <c r="AQ109" i="50"/>
  <c r="AZ109" i="50"/>
  <c r="BI109" i="50"/>
  <c r="BR109" i="50"/>
  <c r="AC109" i="50"/>
  <c r="AU109" i="50"/>
  <c r="BN109" i="50"/>
  <c r="AA109" i="50"/>
  <c r="AS109" i="50"/>
  <c r="BK109" i="50"/>
  <c r="AX109" i="50"/>
  <c r="BP109" i="50"/>
  <c r="AJ109" i="50"/>
  <c r="BB109" i="50"/>
  <c r="BG109" i="50"/>
  <c r="AO109" i="50"/>
  <c r="AA43" i="50"/>
  <c r="AJ43" i="50"/>
  <c r="AO43" i="50"/>
  <c r="AS43" i="50"/>
  <c r="AX43" i="50"/>
  <c r="BB43" i="50"/>
  <c r="BG43" i="50"/>
  <c r="BK43" i="50"/>
  <c r="BP43" i="50"/>
  <c r="AH43" i="50"/>
  <c r="AQ43" i="50"/>
  <c r="AU43" i="50"/>
  <c r="AZ43" i="50"/>
  <c r="BE43" i="50"/>
  <c r="BI43" i="50"/>
  <c r="BN43" i="50"/>
  <c r="BR43" i="50"/>
  <c r="AD43" i="50"/>
  <c r="AM43" i="50"/>
  <c r="AW43" i="50"/>
  <c r="BF43" i="50"/>
  <c r="BO43" i="50"/>
  <c r="AI43" i="50"/>
  <c r="BA43" i="50"/>
  <c r="BJ43" i="50"/>
  <c r="BS43" i="50"/>
  <c r="AK43" i="50"/>
  <c r="BC43" i="50"/>
  <c r="AF43" i="50"/>
  <c r="AY43" i="50"/>
  <c r="BQ43" i="50"/>
  <c r="AB43" i="50"/>
  <c r="BM43" i="50"/>
  <c r="AT43" i="50"/>
  <c r="AP43" i="50"/>
  <c r="S86" i="50"/>
  <c r="W86" i="50"/>
  <c r="U86" i="50"/>
  <c r="Y86" i="50"/>
  <c r="V86" i="50"/>
  <c r="T86" i="50"/>
  <c r="X86" i="50"/>
  <c r="S92" i="50"/>
  <c r="W92" i="50"/>
  <c r="U92" i="50"/>
  <c r="Y92" i="50"/>
  <c r="T92" i="50"/>
  <c r="V92" i="50"/>
  <c r="X92" i="50"/>
  <c r="U56" i="10"/>
  <c r="Y56" i="10"/>
  <c r="AD56" i="10"/>
  <c r="AI56" i="10"/>
  <c r="AR56" i="10"/>
  <c r="AV56" i="10"/>
  <c r="BA56" i="10"/>
  <c r="BE56" i="10"/>
  <c r="V56" i="10"/>
  <c r="AA56" i="10"/>
  <c r="AJ56" i="10"/>
  <c r="AN56" i="10"/>
  <c r="AS56" i="10"/>
  <c r="AW56" i="10"/>
  <c r="BB56" i="10"/>
  <c r="S56" i="10"/>
  <c r="AB56" i="10"/>
  <c r="AF56" i="10"/>
  <c r="AK56" i="10"/>
  <c r="AO56" i="10"/>
  <c r="AT56" i="10"/>
  <c r="AY56" i="10"/>
  <c r="AG56" i="10"/>
  <c r="AZ56" i="10"/>
  <c r="AC56" i="10"/>
  <c r="T56" i="10"/>
  <c r="AL56" i="10"/>
  <c r="BD56" i="10"/>
  <c r="X56" i="10"/>
  <c r="AQ56" i="10"/>
  <c r="AA68" i="50"/>
  <c r="AJ68" i="50"/>
  <c r="AO68" i="50"/>
  <c r="AS68" i="50"/>
  <c r="AX68" i="50"/>
  <c r="BB68" i="50"/>
  <c r="BG68" i="50"/>
  <c r="BK68" i="50"/>
  <c r="BP68" i="50"/>
  <c r="AC68" i="50"/>
  <c r="AH68" i="50"/>
  <c r="AQ68" i="50"/>
  <c r="AU68" i="50"/>
  <c r="AZ68" i="50"/>
  <c r="BE68" i="50"/>
  <c r="BI68" i="50"/>
  <c r="BN68" i="50"/>
  <c r="BR68" i="50"/>
  <c r="AD68" i="50"/>
  <c r="AM68" i="50"/>
  <c r="AW68" i="50"/>
  <c r="BF68" i="50"/>
  <c r="BO68" i="50"/>
  <c r="AB68" i="50"/>
  <c r="AK68" i="50"/>
  <c r="AT68" i="50"/>
  <c r="BC68" i="50"/>
  <c r="BM68" i="50"/>
  <c r="AR68" i="50"/>
  <c r="AF68" i="50"/>
  <c r="AY68" i="50"/>
  <c r="BQ68" i="50"/>
  <c r="AI68" i="50"/>
  <c r="BA68" i="50"/>
  <c r="BS68" i="50"/>
  <c r="AP68" i="50"/>
  <c r="BH68" i="50"/>
  <c r="AA73" i="50"/>
  <c r="AJ73" i="50"/>
  <c r="AO73" i="50"/>
  <c r="AS73" i="50"/>
  <c r="AX73" i="50"/>
  <c r="BB73" i="50"/>
  <c r="BG73" i="50"/>
  <c r="BK73" i="50"/>
  <c r="BP73" i="50"/>
  <c r="AC73" i="50"/>
  <c r="AH73" i="50"/>
  <c r="AQ73" i="50"/>
  <c r="AU73" i="50"/>
  <c r="AZ73" i="50"/>
  <c r="BE73" i="50"/>
  <c r="BI73" i="50"/>
  <c r="BN73" i="50"/>
  <c r="BR73" i="50"/>
  <c r="AD73" i="50"/>
  <c r="AM73" i="50"/>
  <c r="AW73" i="50"/>
  <c r="BF73" i="50"/>
  <c r="BO73" i="50"/>
  <c r="AB73" i="50"/>
  <c r="AK73" i="50"/>
  <c r="BC73" i="50"/>
  <c r="BM73" i="50"/>
  <c r="AR73" i="50"/>
  <c r="BJ73" i="50"/>
  <c r="AF73" i="50"/>
  <c r="AY73" i="50"/>
  <c r="BQ73" i="50"/>
  <c r="AI73" i="50"/>
  <c r="BA73" i="50"/>
  <c r="BS73" i="50"/>
  <c r="AP73" i="50"/>
  <c r="BH73" i="50"/>
  <c r="AH50" i="50"/>
  <c r="AQ50" i="50"/>
  <c r="AU50" i="50"/>
  <c r="AZ50" i="50"/>
  <c r="BE50" i="50"/>
  <c r="BI50" i="50"/>
  <c r="BN50" i="50"/>
  <c r="BR50" i="50"/>
  <c r="AA50" i="50"/>
  <c r="AJ50" i="50"/>
  <c r="AO50" i="50"/>
  <c r="AS50" i="50"/>
  <c r="AX50" i="50"/>
  <c r="BB50" i="50"/>
  <c r="BG50" i="50"/>
  <c r="BK50" i="50"/>
  <c r="BP50" i="50"/>
  <c r="AF50" i="50"/>
  <c r="AP50" i="50"/>
  <c r="AY50" i="50"/>
  <c r="BQ50" i="50"/>
  <c r="AB50" i="50"/>
  <c r="AK50" i="50"/>
  <c r="AT50" i="50"/>
  <c r="BC50" i="50"/>
  <c r="BM50" i="50"/>
  <c r="AM50" i="50"/>
  <c r="BF50" i="50"/>
  <c r="AI50" i="50"/>
  <c r="BA50" i="50"/>
  <c r="BS50" i="50"/>
  <c r="AW50" i="50"/>
  <c r="AD50" i="50"/>
  <c r="BJ50" i="50"/>
  <c r="BO50" i="50"/>
  <c r="T110" i="10"/>
  <c r="X110" i="10"/>
  <c r="AC110" i="10"/>
  <c r="AG110" i="10"/>
  <c r="AL110" i="10"/>
  <c r="AU110" i="10"/>
  <c r="AZ110" i="10"/>
  <c r="BD110" i="10"/>
  <c r="W110" i="10"/>
  <c r="AF110" i="10"/>
  <c r="AT110" i="10"/>
  <c r="U110" i="10"/>
  <c r="Y110" i="10"/>
  <c r="AD110" i="10"/>
  <c r="AM110" i="10"/>
  <c r="AR110" i="10"/>
  <c r="AV110" i="10"/>
  <c r="BA110" i="10"/>
  <c r="BE110" i="10"/>
  <c r="AB110" i="10"/>
  <c r="AO110" i="10"/>
  <c r="V110" i="10"/>
  <c r="AE110" i="10"/>
  <c r="AJ110" i="10"/>
  <c r="AN110" i="10"/>
  <c r="AS110" i="10"/>
  <c r="AW110" i="10"/>
  <c r="BB110" i="10"/>
  <c r="AK110" i="10"/>
  <c r="BC110" i="10"/>
  <c r="T118" i="10"/>
  <c r="X118" i="10"/>
  <c r="AC118" i="10"/>
  <c r="AG118" i="10"/>
  <c r="AL118" i="10"/>
  <c r="AU118" i="10"/>
  <c r="AZ118" i="10"/>
  <c r="BD118" i="10"/>
  <c r="W118" i="10"/>
  <c r="AF118" i="10"/>
  <c r="AT118" i="10"/>
  <c r="U118" i="10"/>
  <c r="Y118" i="10"/>
  <c r="AD118" i="10"/>
  <c r="AM118" i="10"/>
  <c r="AR118" i="10"/>
  <c r="AV118" i="10"/>
  <c r="BA118" i="10"/>
  <c r="BE118" i="10"/>
  <c r="AB118" i="10"/>
  <c r="AO118" i="10"/>
  <c r="BC118" i="10"/>
  <c r="V118" i="10"/>
  <c r="AE118" i="10"/>
  <c r="AJ118" i="10"/>
  <c r="AN118" i="10"/>
  <c r="AS118" i="10"/>
  <c r="AW118" i="10"/>
  <c r="BB118" i="10"/>
  <c r="AK118" i="10"/>
  <c r="AX127" i="50"/>
  <c r="AC14" i="50"/>
  <c r="AH14" i="50"/>
  <c r="AQ14" i="50"/>
  <c r="AU14" i="50"/>
  <c r="AZ14" i="50"/>
  <c r="BE14" i="50"/>
  <c r="BI14" i="50"/>
  <c r="BN14" i="50"/>
  <c r="BR14" i="50"/>
  <c r="AA14" i="50"/>
  <c r="AJ14" i="50"/>
  <c r="AO14" i="50"/>
  <c r="AS14" i="50"/>
  <c r="AX14" i="50"/>
  <c r="BB14" i="50"/>
  <c r="BG14" i="50"/>
  <c r="BK14" i="50"/>
  <c r="BP14" i="50"/>
  <c r="AF14" i="50"/>
  <c r="AP14" i="50"/>
  <c r="AY14" i="50"/>
  <c r="BH14" i="50"/>
  <c r="BQ14" i="50"/>
  <c r="AB14" i="50"/>
  <c r="AK14" i="50"/>
  <c r="AT14" i="50"/>
  <c r="BC14" i="50"/>
  <c r="BM14" i="50"/>
  <c r="AD14" i="50"/>
  <c r="AW14" i="50"/>
  <c r="BO14" i="50"/>
  <c r="AM14" i="50"/>
  <c r="BF14" i="50"/>
  <c r="AR14" i="50"/>
  <c r="BJ14" i="50"/>
  <c r="BS14" i="50"/>
  <c r="BA14" i="50"/>
  <c r="AI14" i="50"/>
  <c r="T3" i="50"/>
  <c r="X3" i="50"/>
  <c r="V3" i="50"/>
  <c r="W3" i="50"/>
  <c r="S3" i="50"/>
  <c r="U3" i="50"/>
  <c r="Y3" i="50"/>
  <c r="T32" i="10"/>
  <c r="X32" i="10"/>
  <c r="AC32" i="10"/>
  <c r="AG32" i="10"/>
  <c r="AL32" i="10"/>
  <c r="AQ32" i="10"/>
  <c r="AU32" i="10"/>
  <c r="AZ32" i="10"/>
  <c r="BD32" i="10"/>
  <c r="U32" i="10"/>
  <c r="Y32" i="10"/>
  <c r="AD32" i="10"/>
  <c r="AI32" i="10"/>
  <c r="AM32" i="10"/>
  <c r="AR32" i="10"/>
  <c r="AV32" i="10"/>
  <c r="BA32" i="10"/>
  <c r="BE32" i="10"/>
  <c r="V32" i="10"/>
  <c r="AA32" i="10"/>
  <c r="AE32" i="10"/>
  <c r="AJ32" i="10"/>
  <c r="AN32" i="10"/>
  <c r="AS32" i="10"/>
  <c r="AW32" i="10"/>
  <c r="BB32" i="10"/>
  <c r="W32" i="10"/>
  <c r="AO32" i="10"/>
  <c r="S32" i="10"/>
  <c r="AB32" i="10"/>
  <c r="AT32" i="10"/>
  <c r="AK32" i="10"/>
  <c r="AF32" i="10"/>
  <c r="AY32" i="10"/>
  <c r="BC32" i="10"/>
  <c r="AH15" i="50"/>
  <c r="AQ15" i="50"/>
  <c r="AU15" i="50"/>
  <c r="BE15" i="50"/>
  <c r="BJ15" i="50"/>
  <c r="BO15" i="50"/>
  <c r="BS15" i="50"/>
  <c r="AA15" i="50"/>
  <c r="AO15" i="50"/>
  <c r="AS15" i="50"/>
  <c r="AX15" i="50"/>
  <c r="BB15" i="50"/>
  <c r="BG15" i="50"/>
  <c r="BM15" i="50"/>
  <c r="BQ15" i="50"/>
  <c r="AF15" i="50"/>
  <c r="AP15" i="50"/>
  <c r="AY15" i="50"/>
  <c r="BI15" i="50"/>
  <c r="BR15" i="50"/>
  <c r="AB15" i="50"/>
  <c r="AK15" i="50"/>
  <c r="AT15" i="50"/>
  <c r="BC15" i="50"/>
  <c r="BN15" i="50"/>
  <c r="AD15" i="50"/>
  <c r="AW15" i="50"/>
  <c r="BP15" i="50"/>
  <c r="AM15" i="50"/>
  <c r="BF15" i="50"/>
  <c r="BK15" i="50"/>
  <c r="AI15" i="50"/>
  <c r="BA15" i="50"/>
  <c r="U16" i="50"/>
  <c r="Y16" i="50"/>
  <c r="S16" i="50"/>
  <c r="W16" i="50"/>
  <c r="X16" i="50"/>
  <c r="T16" i="50"/>
  <c r="T17" i="10"/>
  <c r="X17" i="10"/>
  <c r="AC17" i="10"/>
  <c r="AG17" i="10"/>
  <c r="AL17" i="10"/>
  <c r="AQ17" i="10"/>
  <c r="AU17" i="10"/>
  <c r="AZ17" i="10"/>
  <c r="BD17" i="10"/>
  <c r="U17" i="10"/>
  <c r="Y17" i="10"/>
  <c r="AD17" i="10"/>
  <c r="AI17" i="10"/>
  <c r="AM17" i="10"/>
  <c r="AR17" i="10"/>
  <c r="AV17" i="10"/>
  <c r="BA17" i="10"/>
  <c r="BE17" i="10"/>
  <c r="V17" i="10"/>
  <c r="AA17" i="10"/>
  <c r="AE17" i="10"/>
  <c r="AJ17" i="10"/>
  <c r="AN17" i="10"/>
  <c r="AS17" i="10"/>
  <c r="AW17" i="10"/>
  <c r="BB17" i="10"/>
  <c r="AB17" i="10"/>
  <c r="AT17" i="10"/>
  <c r="AF17" i="10"/>
  <c r="AY17" i="10"/>
  <c r="S17" i="10"/>
  <c r="AK17" i="10"/>
  <c r="BC17" i="10"/>
  <c r="W17" i="10"/>
  <c r="AO17" i="10"/>
  <c r="AA18" i="50"/>
  <c r="AJ18" i="50"/>
  <c r="AS18" i="50"/>
  <c r="AX18" i="50"/>
  <c r="BB18" i="50"/>
  <c r="BG18" i="50"/>
  <c r="BK18" i="50"/>
  <c r="BP18" i="50"/>
  <c r="AC18" i="50"/>
  <c r="AH18" i="50"/>
  <c r="AQ18" i="50"/>
  <c r="AU18" i="50"/>
  <c r="AZ18" i="50"/>
  <c r="BE18" i="50"/>
  <c r="BI18" i="50"/>
  <c r="BN18" i="50"/>
  <c r="BR18" i="50"/>
  <c r="AI18" i="50"/>
  <c r="AR18" i="50"/>
  <c r="BA18" i="50"/>
  <c r="BJ18" i="50"/>
  <c r="BS18" i="50"/>
  <c r="AD18" i="50"/>
  <c r="AM18" i="50"/>
  <c r="BF18" i="50"/>
  <c r="BO18" i="50"/>
  <c r="AF18" i="50"/>
  <c r="AY18" i="50"/>
  <c r="BQ18" i="50"/>
  <c r="AP18" i="50"/>
  <c r="BH18" i="50"/>
  <c r="AT18" i="50"/>
  <c r="AB18" i="50"/>
  <c r="BM18" i="50"/>
  <c r="BC18" i="50"/>
  <c r="AK18" i="50"/>
  <c r="T5" i="50"/>
  <c r="X5" i="50"/>
  <c r="V5" i="50"/>
  <c r="W5" i="50"/>
  <c r="S5" i="50"/>
  <c r="U5" i="50"/>
  <c r="Y5" i="50"/>
  <c r="V19" i="10"/>
  <c r="AA19" i="10"/>
  <c r="AE19" i="10"/>
  <c r="AJ19" i="10"/>
  <c r="AN19" i="10"/>
  <c r="AS19" i="10"/>
  <c r="AW19" i="10"/>
  <c r="BB19" i="10"/>
  <c r="S19" i="10"/>
  <c r="W19" i="10"/>
  <c r="AB19" i="10"/>
  <c r="AF19" i="10"/>
  <c r="AK19" i="10"/>
  <c r="AO19" i="10"/>
  <c r="AT19" i="10"/>
  <c r="AY19" i="10"/>
  <c r="BC19" i="10"/>
  <c r="T19" i="10"/>
  <c r="X19" i="10"/>
  <c r="AC19" i="10"/>
  <c r="AG19" i="10"/>
  <c r="AL19" i="10"/>
  <c r="AQ19" i="10"/>
  <c r="AU19" i="10"/>
  <c r="AZ19" i="10"/>
  <c r="BD19" i="10"/>
  <c r="AD19" i="10"/>
  <c r="AV19" i="10"/>
  <c r="AI19" i="10"/>
  <c r="BA19" i="10"/>
  <c r="U19" i="10"/>
  <c r="AM19" i="10"/>
  <c r="BE19" i="10"/>
  <c r="AR19" i="10"/>
  <c r="Y19" i="10"/>
  <c r="AA20" i="50"/>
  <c r="AJ20" i="50"/>
  <c r="AO20" i="50"/>
  <c r="AS20" i="50"/>
  <c r="AX20" i="50"/>
  <c r="BB20" i="50"/>
  <c r="BG20" i="50"/>
  <c r="BK20" i="50"/>
  <c r="BP20" i="50"/>
  <c r="AC20" i="50"/>
  <c r="AH20" i="50"/>
  <c r="AQ20" i="50"/>
  <c r="AZ20" i="50"/>
  <c r="BE20" i="50"/>
  <c r="BI20" i="50"/>
  <c r="BN20" i="50"/>
  <c r="BR20" i="50"/>
  <c r="AI20" i="50"/>
  <c r="AR20" i="50"/>
  <c r="BA20" i="50"/>
  <c r="BJ20" i="50"/>
  <c r="BS20" i="50"/>
  <c r="AD20" i="50"/>
  <c r="AM20" i="50"/>
  <c r="AW20" i="50"/>
  <c r="BF20" i="50"/>
  <c r="BO20" i="50"/>
  <c r="AF20" i="50"/>
  <c r="AY20" i="50"/>
  <c r="BQ20" i="50"/>
  <c r="AP20" i="50"/>
  <c r="BH20" i="50"/>
  <c r="AT20" i="50"/>
  <c r="AB20" i="50"/>
  <c r="BM20" i="50"/>
  <c r="AK20" i="50"/>
  <c r="V7" i="50"/>
  <c r="S7" i="50"/>
  <c r="X7" i="50"/>
  <c r="U7" i="50"/>
  <c r="W7" i="50"/>
  <c r="T7" i="50"/>
  <c r="W101" i="10"/>
  <c r="AB101" i="10"/>
  <c r="AG101" i="10"/>
  <c r="AM101" i="10"/>
  <c r="AR101" i="10"/>
  <c r="AV101" i="10"/>
  <c r="BA101" i="10"/>
  <c r="BE101" i="10"/>
  <c r="AF101" i="10"/>
  <c r="AU101" i="10"/>
  <c r="S101" i="10"/>
  <c r="X101" i="10"/>
  <c r="AC101" i="10"/>
  <c r="AI101" i="10"/>
  <c r="AN101" i="10"/>
  <c r="AS101" i="10"/>
  <c r="AW101" i="10"/>
  <c r="AA101" i="10"/>
  <c r="AQ101" i="10"/>
  <c r="BD101" i="10"/>
  <c r="T101" i="10"/>
  <c r="Y101" i="10"/>
  <c r="AE101" i="10"/>
  <c r="AJ101" i="10"/>
  <c r="AO101" i="10"/>
  <c r="AY101" i="10"/>
  <c r="BC101" i="10"/>
  <c r="U101" i="10"/>
  <c r="AK101" i="10"/>
  <c r="AZ101" i="10"/>
  <c r="AA83" i="50"/>
  <c r="AJ83" i="50"/>
  <c r="AO83" i="50"/>
  <c r="AS83" i="50"/>
  <c r="AX83" i="50"/>
  <c r="BB83" i="50"/>
  <c r="BG83" i="50"/>
  <c r="BK83" i="50"/>
  <c r="BP83" i="50"/>
  <c r="AC83" i="50"/>
  <c r="AH83" i="50"/>
  <c r="AQ83" i="50"/>
  <c r="AU83" i="50"/>
  <c r="AZ83" i="50"/>
  <c r="BE83" i="50"/>
  <c r="BI83" i="50"/>
  <c r="BN83" i="50"/>
  <c r="BR83" i="50"/>
  <c r="AD83" i="50"/>
  <c r="AM83" i="50"/>
  <c r="AW83" i="50"/>
  <c r="BF83" i="50"/>
  <c r="BO83" i="50"/>
  <c r="AB83" i="50"/>
  <c r="AK83" i="50"/>
  <c r="AT83" i="50"/>
  <c r="BC83" i="50"/>
  <c r="BM83" i="50"/>
  <c r="AR83" i="50"/>
  <c r="BJ83" i="50"/>
  <c r="AF83" i="50"/>
  <c r="AY83" i="50"/>
  <c r="BQ83" i="50"/>
  <c r="AI83" i="50"/>
  <c r="BA83" i="50"/>
  <c r="BS83" i="50"/>
  <c r="AP83" i="50"/>
  <c r="BH83" i="50"/>
  <c r="W98" i="50"/>
  <c r="U98" i="50"/>
  <c r="Y98" i="50"/>
  <c r="X98" i="50"/>
  <c r="T98" i="50"/>
  <c r="V98" i="50"/>
  <c r="S35" i="10"/>
  <c r="AB35" i="10"/>
  <c r="AG35" i="10"/>
  <c r="AL35" i="10"/>
  <c r="AR35" i="10"/>
  <c r="AW35" i="10"/>
  <c r="BB35" i="10"/>
  <c r="T35" i="10"/>
  <c r="X35" i="10"/>
  <c r="AI35" i="10"/>
  <c r="AN35" i="10"/>
  <c r="AY35" i="10"/>
  <c r="Y35" i="10"/>
  <c r="AD35" i="10"/>
  <c r="AJ35" i="10"/>
  <c r="AO35" i="10"/>
  <c r="AT35" i="10"/>
  <c r="AZ35" i="10"/>
  <c r="BD35" i="10"/>
  <c r="V35" i="10"/>
  <c r="AQ35" i="10"/>
  <c r="AA35" i="10"/>
  <c r="AV35" i="10"/>
  <c r="AF35" i="10"/>
  <c r="BE35" i="10"/>
  <c r="AA36" i="50"/>
  <c r="AJ36" i="50"/>
  <c r="AO36" i="50"/>
  <c r="AS36" i="50"/>
  <c r="AX36" i="50"/>
  <c r="BB36" i="50"/>
  <c r="BG36" i="50"/>
  <c r="BK36" i="50"/>
  <c r="BP36" i="50"/>
  <c r="AC36" i="50"/>
  <c r="AH36" i="50"/>
  <c r="AQ36" i="50"/>
  <c r="AU36" i="50"/>
  <c r="AZ36" i="50"/>
  <c r="BE36" i="50"/>
  <c r="BI36" i="50"/>
  <c r="BN36" i="50"/>
  <c r="BR36" i="50"/>
  <c r="AI36" i="50"/>
  <c r="AR36" i="50"/>
  <c r="BA36" i="50"/>
  <c r="BJ36" i="50"/>
  <c r="BS36" i="50"/>
  <c r="AD36" i="50"/>
  <c r="AM36" i="50"/>
  <c r="AW36" i="50"/>
  <c r="BF36" i="50"/>
  <c r="BO36" i="50"/>
  <c r="AF36" i="50"/>
  <c r="AY36" i="50"/>
  <c r="BQ36" i="50"/>
  <c r="AB36" i="50"/>
  <c r="AT36" i="50"/>
  <c r="BM36" i="50"/>
  <c r="AP36" i="50"/>
  <c r="AK36" i="50"/>
  <c r="BH36" i="50"/>
  <c r="BC36" i="50"/>
  <c r="V37" i="50"/>
  <c r="T37" i="50"/>
  <c r="X37" i="50"/>
  <c r="U37" i="50"/>
  <c r="S37" i="50"/>
  <c r="S38" i="10"/>
  <c r="W38" i="10"/>
  <c r="AB38" i="10"/>
  <c r="AF38" i="10"/>
  <c r="AK38" i="10"/>
  <c r="AT38" i="10"/>
  <c r="AY38" i="10"/>
  <c r="BC38" i="10"/>
  <c r="T38" i="10"/>
  <c r="X38" i="10"/>
  <c r="AC38" i="10"/>
  <c r="AL38" i="10"/>
  <c r="AQ38" i="10"/>
  <c r="AU38" i="10"/>
  <c r="AZ38" i="10"/>
  <c r="BD38" i="10"/>
  <c r="U38" i="10"/>
  <c r="AD38" i="10"/>
  <c r="AI38" i="10"/>
  <c r="AM38" i="10"/>
  <c r="AR38" i="10"/>
  <c r="AV38" i="10"/>
  <c r="BA38" i="10"/>
  <c r="AE38" i="10"/>
  <c r="AA38" i="10"/>
  <c r="AJ38" i="10"/>
  <c r="BB38" i="10"/>
  <c r="AS38" i="10"/>
  <c r="V38" i="10"/>
  <c r="AN38" i="10"/>
  <c r="AD33" i="50"/>
  <c r="AI33" i="50"/>
  <c r="AM33" i="50"/>
  <c r="AR33" i="50"/>
  <c r="AW33" i="50"/>
  <c r="BA33" i="50"/>
  <c r="BF33" i="50"/>
  <c r="BJ33" i="50"/>
  <c r="BO33" i="50"/>
  <c r="BS33" i="50"/>
  <c r="AB33" i="50"/>
  <c r="AF33" i="50"/>
  <c r="AK33" i="50"/>
  <c r="AP33" i="50"/>
  <c r="AT33" i="50"/>
  <c r="AY33" i="50"/>
  <c r="BC33" i="50"/>
  <c r="BH33" i="50"/>
  <c r="BM33" i="50"/>
  <c r="BQ33" i="50"/>
  <c r="AH33" i="50"/>
  <c r="AQ33" i="50"/>
  <c r="AZ33" i="50"/>
  <c r="BI33" i="50"/>
  <c r="BR33" i="50"/>
  <c r="AC33" i="50"/>
  <c r="AU33" i="50"/>
  <c r="BE33" i="50"/>
  <c r="BN33" i="50"/>
  <c r="AO33" i="50"/>
  <c r="BG33" i="50"/>
  <c r="AX33" i="50"/>
  <c r="BP33" i="50"/>
  <c r="AJ33" i="50"/>
  <c r="AA33" i="50"/>
  <c r="BK33" i="50"/>
  <c r="BB33" i="50"/>
  <c r="AS33" i="50"/>
  <c r="U34" i="50"/>
  <c r="S34" i="50"/>
  <c r="W34" i="50"/>
  <c r="Y34" i="50"/>
  <c r="T34" i="50"/>
  <c r="V34" i="50"/>
  <c r="X34" i="50"/>
  <c r="T39" i="10"/>
  <c r="X39" i="10"/>
  <c r="AC39" i="10"/>
  <c r="AG39" i="10"/>
  <c r="AQ39" i="10"/>
  <c r="AU39" i="10"/>
  <c r="AZ39" i="10"/>
  <c r="BD39" i="10"/>
  <c r="U39" i="10"/>
  <c r="Y39" i="10"/>
  <c r="AI39" i="10"/>
  <c r="AM39" i="10"/>
  <c r="AR39" i="10"/>
  <c r="AV39" i="10"/>
  <c r="BA39" i="10"/>
  <c r="BE39" i="10"/>
  <c r="AA39" i="10"/>
  <c r="AE39" i="10"/>
  <c r="AJ39" i="10"/>
  <c r="AN39" i="10"/>
  <c r="AS39" i="10"/>
  <c r="AW39" i="10"/>
  <c r="AF39" i="10"/>
  <c r="AY39" i="10"/>
  <c r="AB39" i="10"/>
  <c r="S39" i="10"/>
  <c r="AK39" i="10"/>
  <c r="BC39" i="10"/>
  <c r="W39" i="10"/>
  <c r="AO39" i="10"/>
  <c r="AB40" i="50"/>
  <c r="AF40" i="50"/>
  <c r="AK40" i="50"/>
  <c r="AP40" i="50"/>
  <c r="AT40" i="50"/>
  <c r="AY40" i="50"/>
  <c r="BC40" i="50"/>
  <c r="BI40" i="50"/>
  <c r="BN40" i="50"/>
  <c r="BR40" i="50"/>
  <c r="AD40" i="50"/>
  <c r="AI40" i="50"/>
  <c r="AM40" i="50"/>
  <c r="AW40" i="50"/>
  <c r="BA40" i="50"/>
  <c r="BF40" i="50"/>
  <c r="BK40" i="50"/>
  <c r="BP40" i="50"/>
  <c r="AA40" i="50"/>
  <c r="AS40" i="50"/>
  <c r="BB40" i="50"/>
  <c r="BM40" i="50"/>
  <c r="AO40" i="50"/>
  <c r="AX40" i="50"/>
  <c r="BG40" i="50"/>
  <c r="BQ40" i="50"/>
  <c r="AH40" i="50"/>
  <c r="BS40" i="50"/>
  <c r="AU40" i="50"/>
  <c r="BO40" i="50"/>
  <c r="AQ40" i="50"/>
  <c r="BJ40" i="50"/>
  <c r="BE40" i="50"/>
  <c r="T41" i="50"/>
  <c r="X41" i="50"/>
  <c r="S41" i="50"/>
  <c r="W41" i="50"/>
  <c r="Y41" i="50"/>
  <c r="U41" i="50"/>
  <c r="U52" i="10"/>
  <c r="Y52" i="10"/>
  <c r="AD52" i="10"/>
  <c r="AI52" i="10"/>
  <c r="AM52" i="10"/>
  <c r="AR52" i="10"/>
  <c r="AV52" i="10"/>
  <c r="BA52" i="10"/>
  <c r="BE52" i="10"/>
  <c r="V52" i="10"/>
  <c r="AA52" i="10"/>
  <c r="AE52" i="10"/>
  <c r="AJ52" i="10"/>
  <c r="AN52" i="10"/>
  <c r="AS52" i="10"/>
  <c r="AW52" i="10"/>
  <c r="BB52" i="10"/>
  <c r="S52" i="10"/>
  <c r="W52" i="10"/>
  <c r="AB52" i="10"/>
  <c r="AF52" i="10"/>
  <c r="AK52" i="10"/>
  <c r="AT52" i="10"/>
  <c r="AY52" i="10"/>
  <c r="BC52" i="10"/>
  <c r="AC52" i="10"/>
  <c r="AU52" i="10"/>
  <c r="AZ52" i="10"/>
  <c r="AQ52" i="10"/>
  <c r="T52" i="10"/>
  <c r="AL52" i="10"/>
  <c r="BD52" i="10"/>
  <c r="X52" i="10"/>
  <c r="U44" i="10"/>
  <c r="Y44" i="10"/>
  <c r="AI44" i="10"/>
  <c r="AM44" i="10"/>
  <c r="AR44" i="10"/>
  <c r="AV44" i="10"/>
  <c r="BA44" i="10"/>
  <c r="BE44" i="10"/>
  <c r="AA44" i="10"/>
  <c r="AE44" i="10"/>
  <c r="AJ44" i="10"/>
  <c r="AN44" i="10"/>
  <c r="AS44" i="10"/>
  <c r="AW44" i="10"/>
  <c r="S44" i="10"/>
  <c r="W44" i="10"/>
  <c r="AB44" i="10"/>
  <c r="AF44" i="10"/>
  <c r="AK44" i="10"/>
  <c r="AO44" i="10"/>
  <c r="AY44" i="10"/>
  <c r="BC44" i="10"/>
  <c r="T44" i="10"/>
  <c r="BD44" i="10"/>
  <c r="X44" i="10"/>
  <c r="AQ44" i="10"/>
  <c r="AZ44" i="10"/>
  <c r="AC44" i="10"/>
  <c r="AU44" i="10"/>
  <c r="AG44" i="10"/>
  <c r="AA45" i="50"/>
  <c r="AJ45" i="50"/>
  <c r="AO45" i="50"/>
  <c r="AS45" i="50"/>
  <c r="AX45" i="50"/>
  <c r="BB45" i="50"/>
  <c r="BG45" i="50"/>
  <c r="BM45" i="50"/>
  <c r="BQ45" i="50"/>
  <c r="AH45" i="50"/>
  <c r="AQ45" i="50"/>
  <c r="AU45" i="50"/>
  <c r="AZ45" i="50"/>
  <c r="BE45" i="50"/>
  <c r="BJ45" i="50"/>
  <c r="BO45" i="50"/>
  <c r="BS45" i="50"/>
  <c r="AD45" i="50"/>
  <c r="AM45" i="50"/>
  <c r="AW45" i="50"/>
  <c r="BF45" i="50"/>
  <c r="BP45" i="50"/>
  <c r="AI45" i="50"/>
  <c r="BA45" i="50"/>
  <c r="BK45" i="50"/>
  <c r="AK45" i="50"/>
  <c r="BC45" i="50"/>
  <c r="AF45" i="50"/>
  <c r="AY45" i="50"/>
  <c r="BR45" i="50"/>
  <c r="AB45" i="50"/>
  <c r="BN45" i="50"/>
  <c r="BI45" i="50"/>
  <c r="AP45" i="50"/>
  <c r="AT45" i="50"/>
  <c r="S46" i="50"/>
  <c r="W46" i="50"/>
  <c r="U46" i="50"/>
  <c r="Y46" i="50"/>
  <c r="T46" i="50"/>
  <c r="X46" i="50"/>
  <c r="S86" i="10"/>
  <c r="W86" i="10"/>
  <c r="AB86" i="10"/>
  <c r="AF86" i="10"/>
  <c r="AK86" i="10"/>
  <c r="AO86" i="10"/>
  <c r="AT86" i="10"/>
  <c r="AY86" i="10"/>
  <c r="BC86" i="10"/>
  <c r="T86" i="10"/>
  <c r="X86" i="10"/>
  <c r="AC86" i="10"/>
  <c r="AG86" i="10"/>
  <c r="AL86" i="10"/>
  <c r="AQ86" i="10"/>
  <c r="AU86" i="10"/>
  <c r="AZ86" i="10"/>
  <c r="BD86" i="10"/>
  <c r="U86" i="10"/>
  <c r="Y86" i="10"/>
  <c r="AD86" i="10"/>
  <c r="AI86" i="10"/>
  <c r="AM86" i="10"/>
  <c r="AR86" i="10"/>
  <c r="AV86" i="10"/>
  <c r="BA86" i="10"/>
  <c r="BE86" i="10"/>
  <c r="AA86" i="10"/>
  <c r="AS86" i="10"/>
  <c r="V86" i="10"/>
  <c r="AE86" i="10"/>
  <c r="AW86" i="10"/>
  <c r="AJ86" i="10"/>
  <c r="BB86" i="10"/>
  <c r="AN86" i="10"/>
  <c r="AF87" i="50"/>
  <c r="AK87" i="50"/>
  <c r="AP87" i="50"/>
  <c r="AT87" i="50"/>
  <c r="AY87" i="50"/>
  <c r="BC87" i="50"/>
  <c r="BH87" i="50"/>
  <c r="BM87" i="50"/>
  <c r="BQ87" i="50"/>
  <c r="AD87" i="50"/>
  <c r="AI87" i="50"/>
  <c r="AM87" i="50"/>
  <c r="AR87" i="50"/>
  <c r="AW87" i="50"/>
  <c r="BA87" i="50"/>
  <c r="BF87" i="50"/>
  <c r="BJ87" i="50"/>
  <c r="BS87" i="50"/>
  <c r="AO87" i="50"/>
  <c r="AX87" i="50"/>
  <c r="BP87" i="50"/>
  <c r="AC87" i="50"/>
  <c r="AU87" i="50"/>
  <c r="BE87" i="50"/>
  <c r="BN87" i="50"/>
  <c r="AA87" i="50"/>
  <c r="AS87" i="50"/>
  <c r="BK87" i="50"/>
  <c r="AH87" i="50"/>
  <c r="AZ87" i="50"/>
  <c r="BR87" i="50"/>
  <c r="AJ87" i="50"/>
  <c r="BB87" i="50"/>
  <c r="BI87" i="50"/>
  <c r="S88" i="50"/>
  <c r="W88" i="50"/>
  <c r="U88" i="50"/>
  <c r="Y88" i="50"/>
  <c r="V88" i="50"/>
  <c r="T88" i="50"/>
  <c r="X88" i="50"/>
  <c r="S92" i="10"/>
  <c r="W92" i="10"/>
  <c r="AB92" i="10"/>
  <c r="AF92" i="10"/>
  <c r="AK92" i="10"/>
  <c r="AO92" i="10"/>
  <c r="AT92" i="10"/>
  <c r="AY92" i="10"/>
  <c r="BC92" i="10"/>
  <c r="T92" i="10"/>
  <c r="X92" i="10"/>
  <c r="AC92" i="10"/>
  <c r="AG92" i="10"/>
  <c r="AL92" i="10"/>
  <c r="AQ92" i="10"/>
  <c r="AU92" i="10"/>
  <c r="AZ92" i="10"/>
  <c r="BD92" i="10"/>
  <c r="U92" i="10"/>
  <c r="Y92" i="10"/>
  <c r="AD92" i="10"/>
  <c r="AI92" i="10"/>
  <c r="AM92" i="10"/>
  <c r="AR92" i="10"/>
  <c r="AV92" i="10"/>
  <c r="BA92" i="10"/>
  <c r="BE92" i="10"/>
  <c r="V92" i="10"/>
  <c r="AN92" i="10"/>
  <c r="BB92" i="10"/>
  <c r="AA92" i="10"/>
  <c r="AS92" i="10"/>
  <c r="AE92" i="10"/>
  <c r="AW92" i="10"/>
  <c r="AJ92" i="10"/>
  <c r="AB102" i="50"/>
  <c r="AF102" i="50"/>
  <c r="AK102" i="50"/>
  <c r="AP102" i="50"/>
  <c r="AT102" i="50"/>
  <c r="AY102" i="50"/>
  <c r="BC102" i="50"/>
  <c r="BM102" i="50"/>
  <c r="BQ102" i="50"/>
  <c r="AD102" i="50"/>
  <c r="AI102" i="50"/>
  <c r="AM102" i="50"/>
  <c r="AW102" i="50"/>
  <c r="BA102" i="50"/>
  <c r="BF102" i="50"/>
  <c r="BJ102" i="50"/>
  <c r="BO102" i="50"/>
  <c r="BS102" i="50"/>
  <c r="AH102" i="50"/>
  <c r="AQ102" i="50"/>
  <c r="BI102" i="50"/>
  <c r="BR102" i="50"/>
  <c r="AU102" i="50"/>
  <c r="BE102" i="50"/>
  <c r="BN102" i="50"/>
  <c r="AA102" i="50"/>
  <c r="AS102" i="50"/>
  <c r="BK102" i="50"/>
  <c r="AX102" i="50"/>
  <c r="BP102" i="50"/>
  <c r="BB102" i="50"/>
  <c r="BG102" i="50"/>
  <c r="AO102" i="50"/>
  <c r="V96" i="50"/>
  <c r="T96" i="50"/>
  <c r="X96" i="50"/>
  <c r="W96" i="50"/>
  <c r="S96" i="50"/>
  <c r="Y96" i="50"/>
  <c r="U96" i="50"/>
  <c r="S54" i="10"/>
  <c r="W54" i="10"/>
  <c r="AB54" i="10"/>
  <c r="AF54" i="10"/>
  <c r="AK54" i="10"/>
  <c r="AO54" i="10"/>
  <c r="AT54" i="10"/>
  <c r="AY54" i="10"/>
  <c r="BC54" i="10"/>
  <c r="T54" i="10"/>
  <c r="X54" i="10"/>
  <c r="AC54" i="10"/>
  <c r="AG54" i="10"/>
  <c r="AL54" i="10"/>
  <c r="AQ54" i="10"/>
  <c r="AU54" i="10"/>
  <c r="AZ54" i="10"/>
  <c r="BD54" i="10"/>
  <c r="U54" i="10"/>
  <c r="Y54" i="10"/>
  <c r="AD54" i="10"/>
  <c r="AI54" i="10"/>
  <c r="AM54" i="10"/>
  <c r="AR54" i="10"/>
  <c r="AV54" i="10"/>
  <c r="BA54" i="10"/>
  <c r="BE54" i="10"/>
  <c r="AE54" i="10"/>
  <c r="AW54" i="10"/>
  <c r="AJ54" i="10"/>
  <c r="BB54" i="10"/>
  <c r="AS54" i="10"/>
  <c r="V54" i="10"/>
  <c r="AN54" i="10"/>
  <c r="AA54" i="10"/>
  <c r="AD55" i="50"/>
  <c r="AI55" i="50"/>
  <c r="AM55" i="50"/>
  <c r="AR55" i="50"/>
  <c r="AW55" i="50"/>
  <c r="BA55" i="50"/>
  <c r="BF55" i="50"/>
  <c r="BK55" i="50"/>
  <c r="BP55" i="50"/>
  <c r="AB55" i="50"/>
  <c r="AF55" i="50"/>
  <c r="AK55" i="50"/>
  <c r="AP55" i="50"/>
  <c r="AT55" i="50"/>
  <c r="AY55" i="50"/>
  <c r="BC55" i="50"/>
  <c r="BI55" i="50"/>
  <c r="BN55" i="50"/>
  <c r="BR55" i="50"/>
  <c r="AH55" i="50"/>
  <c r="AQ55" i="50"/>
  <c r="AZ55" i="50"/>
  <c r="BJ55" i="50"/>
  <c r="BS55" i="50"/>
  <c r="AC55" i="50"/>
  <c r="AU55" i="50"/>
  <c r="BE55" i="50"/>
  <c r="BO55" i="50"/>
  <c r="AO55" i="50"/>
  <c r="BH55" i="50"/>
  <c r="AJ55" i="50"/>
  <c r="BB55" i="50"/>
  <c r="BQ55" i="50"/>
  <c r="AA55" i="50"/>
  <c r="BM55" i="50"/>
  <c r="AX55" i="50"/>
  <c r="AS55" i="50"/>
  <c r="V56" i="50"/>
  <c r="T56" i="50"/>
  <c r="X56" i="50"/>
  <c r="Y56" i="50"/>
  <c r="U56" i="50"/>
  <c r="S56" i="50"/>
  <c r="T95" i="10"/>
  <c r="X95" i="10"/>
  <c r="AC95" i="10"/>
  <c r="AG95" i="10"/>
  <c r="AL95" i="10"/>
  <c r="AQ95" i="10"/>
  <c r="AU95" i="10"/>
  <c r="AZ95" i="10"/>
  <c r="BD95" i="10"/>
  <c r="U95" i="10"/>
  <c r="Y95" i="10"/>
  <c r="AD95" i="10"/>
  <c r="AI95" i="10"/>
  <c r="AM95" i="10"/>
  <c r="AR95" i="10"/>
  <c r="AV95" i="10"/>
  <c r="BA95" i="10"/>
  <c r="BE95" i="10"/>
  <c r="V95" i="10"/>
  <c r="AA95" i="10"/>
  <c r="AE95" i="10"/>
  <c r="AJ95" i="10"/>
  <c r="AN95" i="10"/>
  <c r="AS95" i="10"/>
  <c r="AW95" i="10"/>
  <c r="BB95" i="10"/>
  <c r="AF95" i="10"/>
  <c r="AY95" i="10"/>
  <c r="S95" i="10"/>
  <c r="AK95" i="10"/>
  <c r="BC95" i="10"/>
  <c r="AT95" i="10"/>
  <c r="W95" i="10"/>
  <c r="AO95" i="10"/>
  <c r="AB95" i="10"/>
  <c r="AF93" i="50"/>
  <c r="AK93" i="50"/>
  <c r="AP93" i="50"/>
  <c r="AT93" i="50"/>
  <c r="AY93" i="50"/>
  <c r="BC93" i="50"/>
  <c r="BH93" i="50"/>
  <c r="BQ93" i="50"/>
  <c r="AD93" i="50"/>
  <c r="AM93" i="50"/>
  <c r="AR93" i="50"/>
  <c r="BA93" i="50"/>
  <c r="BF93" i="50"/>
  <c r="BJ93" i="50"/>
  <c r="BO93" i="50"/>
  <c r="BS93" i="50"/>
  <c r="AH93" i="50"/>
  <c r="AQ93" i="50"/>
  <c r="AZ93" i="50"/>
  <c r="BI93" i="50"/>
  <c r="BR93" i="50"/>
  <c r="AC93" i="50"/>
  <c r="AU93" i="50"/>
  <c r="BN93" i="50"/>
  <c r="AA93" i="50"/>
  <c r="AS93" i="50"/>
  <c r="BK93" i="50"/>
  <c r="AX93" i="50"/>
  <c r="BP93" i="50"/>
  <c r="AJ93" i="50"/>
  <c r="BB93" i="50"/>
  <c r="BG93" i="50"/>
  <c r="V67" i="50"/>
  <c r="T67" i="50"/>
  <c r="U67" i="50"/>
  <c r="S67" i="50"/>
  <c r="Y67" i="50"/>
  <c r="W67" i="50"/>
  <c r="U69" i="10"/>
  <c r="Y69" i="10"/>
  <c r="AD69" i="10"/>
  <c r="AI69" i="10"/>
  <c r="AM69" i="10"/>
  <c r="AR69" i="10"/>
  <c r="BA69" i="10"/>
  <c r="BE69" i="10"/>
  <c r="V69" i="10"/>
  <c r="AA69" i="10"/>
  <c r="AE69" i="10"/>
  <c r="AJ69" i="10"/>
  <c r="AS69" i="10"/>
  <c r="AW69" i="10"/>
  <c r="BB69" i="10"/>
  <c r="S69" i="10"/>
  <c r="W69" i="10"/>
  <c r="AB69" i="10"/>
  <c r="AK69" i="10"/>
  <c r="AO69" i="10"/>
  <c r="AT69" i="10"/>
  <c r="AY69" i="10"/>
  <c r="BC69" i="10"/>
  <c r="AQ69" i="10"/>
  <c r="AL69" i="10"/>
  <c r="AC69" i="10"/>
  <c r="AU69" i="10"/>
  <c r="AG69" i="10"/>
  <c r="AZ69" i="10"/>
  <c r="T69" i="10"/>
  <c r="AA70" i="50"/>
  <c r="AJ70" i="50"/>
  <c r="AO70" i="50"/>
  <c r="AS70" i="50"/>
  <c r="AX70" i="50"/>
  <c r="BB70" i="50"/>
  <c r="BG70" i="50"/>
  <c r="BK70" i="50"/>
  <c r="BP70" i="50"/>
  <c r="AH70" i="50"/>
  <c r="AQ70" i="50"/>
  <c r="AU70" i="50"/>
  <c r="AZ70" i="50"/>
  <c r="BE70" i="50"/>
  <c r="BI70" i="50"/>
  <c r="BN70" i="50"/>
  <c r="BR70" i="50"/>
  <c r="AD70" i="50"/>
  <c r="AM70" i="50"/>
  <c r="AW70" i="50"/>
  <c r="BF70" i="50"/>
  <c r="BO70" i="50"/>
  <c r="AB70" i="50"/>
  <c r="AK70" i="50"/>
  <c r="BC70" i="50"/>
  <c r="BM70" i="50"/>
  <c r="AR70" i="50"/>
  <c r="AF70" i="50"/>
  <c r="AY70" i="50"/>
  <c r="BQ70" i="50"/>
  <c r="AI70" i="50"/>
  <c r="BA70" i="50"/>
  <c r="BS70" i="50"/>
  <c r="AP70" i="50"/>
  <c r="BH70" i="50"/>
  <c r="V71" i="50"/>
  <c r="T71" i="50"/>
  <c r="U71" i="50"/>
  <c r="S71" i="50"/>
  <c r="Y71" i="50"/>
  <c r="W71" i="50"/>
  <c r="T72" i="10"/>
  <c r="AC72" i="10"/>
  <c r="AG72" i="10"/>
  <c r="AL72" i="10"/>
  <c r="AQ72" i="10"/>
  <c r="AU72" i="10"/>
  <c r="AZ72" i="10"/>
  <c r="U72" i="10"/>
  <c r="Y72" i="10"/>
  <c r="AD72" i="10"/>
  <c r="AI72" i="10"/>
  <c r="AM72" i="10"/>
  <c r="AR72" i="10"/>
  <c r="BA72" i="10"/>
  <c r="BE72" i="10"/>
  <c r="V72" i="10"/>
  <c r="AA72" i="10"/>
  <c r="AE72" i="10"/>
  <c r="AJ72" i="10"/>
  <c r="AS72" i="10"/>
  <c r="AW72" i="10"/>
  <c r="BB72" i="10"/>
  <c r="AB72" i="10"/>
  <c r="AT72" i="10"/>
  <c r="AY72" i="10"/>
  <c r="AO72" i="10"/>
  <c r="S72" i="10"/>
  <c r="AK72" i="10"/>
  <c r="BC72" i="10"/>
  <c r="W72" i="10"/>
  <c r="AH48" i="50"/>
  <c r="AQ48" i="50"/>
  <c r="AU48" i="50"/>
  <c r="BE48" i="50"/>
  <c r="BI48" i="50"/>
  <c r="BN48" i="50"/>
  <c r="BR48" i="50"/>
  <c r="AA48" i="50"/>
  <c r="AO48" i="50"/>
  <c r="AS48" i="50"/>
  <c r="AX48" i="50"/>
  <c r="BB48" i="50"/>
  <c r="BG48" i="50"/>
  <c r="BK48" i="50"/>
  <c r="BP48" i="50"/>
  <c r="AF48" i="50"/>
  <c r="AP48" i="50"/>
  <c r="AY48" i="50"/>
  <c r="BQ48" i="50"/>
  <c r="AB48" i="50"/>
  <c r="AK48" i="50"/>
  <c r="AT48" i="50"/>
  <c r="BC48" i="50"/>
  <c r="BM48" i="50"/>
  <c r="AM48" i="50"/>
  <c r="BF48" i="50"/>
  <c r="AI48" i="50"/>
  <c r="BA48" i="50"/>
  <c r="BS48" i="50"/>
  <c r="AW48" i="50"/>
  <c r="BO48" i="50"/>
  <c r="AD48" i="50"/>
  <c r="BJ48" i="50"/>
  <c r="T49" i="50"/>
  <c r="X49" i="50"/>
  <c r="V49" i="50"/>
  <c r="W49" i="50"/>
  <c r="S49" i="50"/>
  <c r="U49" i="50"/>
  <c r="Y49" i="50"/>
  <c r="T51" i="10"/>
  <c r="X51" i="10"/>
  <c r="AC51" i="10"/>
  <c r="AG51" i="10"/>
  <c r="AQ51" i="10"/>
  <c r="AU51" i="10"/>
  <c r="AZ51" i="10"/>
  <c r="BD51" i="10"/>
  <c r="U51" i="10"/>
  <c r="Y51" i="10"/>
  <c r="AI51" i="10"/>
  <c r="AM51" i="10"/>
  <c r="AR51" i="10"/>
  <c r="AV51" i="10"/>
  <c r="BA51" i="10"/>
  <c r="BE51" i="10"/>
  <c r="AA51" i="10"/>
  <c r="AE51" i="10"/>
  <c r="AJ51" i="10"/>
  <c r="AN51" i="10"/>
  <c r="AS51" i="10"/>
  <c r="AW51" i="10"/>
  <c r="AB51" i="10"/>
  <c r="AF51" i="10"/>
  <c r="AY51" i="10"/>
  <c r="AO51" i="10"/>
  <c r="S51" i="10"/>
  <c r="AK51" i="10"/>
  <c r="BC51" i="10"/>
  <c r="W51" i="10"/>
  <c r="AB105" i="50"/>
  <c r="AF105" i="50"/>
  <c r="AK105" i="50"/>
  <c r="AP105" i="50"/>
  <c r="AT105" i="50"/>
  <c r="AY105" i="50"/>
  <c r="BC105" i="50"/>
  <c r="BH105" i="50"/>
  <c r="BM105" i="50"/>
  <c r="BQ105" i="50"/>
  <c r="AD105" i="50"/>
  <c r="AI105" i="50"/>
  <c r="AM105" i="50"/>
  <c r="AR105" i="50"/>
  <c r="BA105" i="50"/>
  <c r="BF105" i="50"/>
  <c r="BJ105" i="50"/>
  <c r="BO105" i="50"/>
  <c r="BS105" i="50"/>
  <c r="AH105" i="50"/>
  <c r="AQ105" i="50"/>
  <c r="AZ105" i="50"/>
  <c r="BI105" i="50"/>
  <c r="BR105" i="50"/>
  <c r="AC105" i="50"/>
  <c r="AU105" i="50"/>
  <c r="BE105" i="50"/>
  <c r="BN105" i="50"/>
  <c r="AA105" i="50"/>
  <c r="AS105" i="50"/>
  <c r="BK105" i="50"/>
  <c r="AX105" i="50"/>
  <c r="BP105" i="50"/>
  <c r="AJ105" i="50"/>
  <c r="BB105" i="50"/>
  <c r="BG105" i="50"/>
  <c r="S106" i="50"/>
  <c r="W106" i="50"/>
  <c r="U106" i="50"/>
  <c r="Y106" i="50"/>
  <c r="X106" i="50"/>
  <c r="T106" i="50"/>
  <c r="V106" i="50"/>
  <c r="U91" i="10"/>
  <c r="Y91" i="10"/>
  <c r="AE91" i="10"/>
  <c r="AK91" i="10"/>
  <c r="AO91" i="10"/>
  <c r="AU91" i="10"/>
  <c r="AZ91" i="10"/>
  <c r="BD91" i="10"/>
  <c r="V91" i="10"/>
  <c r="AB91" i="10"/>
  <c r="AF91" i="10"/>
  <c r="AL91" i="10"/>
  <c r="AR91" i="10"/>
  <c r="AV91" i="10"/>
  <c r="BA91" i="10"/>
  <c r="BE91" i="10"/>
  <c r="W91" i="10"/>
  <c r="AC91" i="10"/>
  <c r="AG91" i="10"/>
  <c r="AM91" i="10"/>
  <c r="AS91" i="10"/>
  <c r="AW91" i="10"/>
  <c r="BB91" i="10"/>
  <c r="AJ91" i="10"/>
  <c r="BC91" i="10"/>
  <c r="T91" i="10"/>
  <c r="AN91" i="10"/>
  <c r="X91" i="10"/>
  <c r="AT91" i="10"/>
  <c r="AD91" i="10"/>
  <c r="AB108" i="50"/>
  <c r="AF108" i="50"/>
  <c r="AK108" i="50"/>
  <c r="AP108" i="50"/>
  <c r="AT108" i="50"/>
  <c r="AY108" i="50"/>
  <c r="BC108" i="50"/>
  <c r="BH108" i="50"/>
  <c r="BQ108" i="50"/>
  <c r="AD108" i="50"/>
  <c r="AI108" i="50"/>
  <c r="AM108" i="50"/>
  <c r="AR108" i="50"/>
  <c r="AW108" i="50"/>
  <c r="BA108" i="50"/>
  <c r="BF108" i="50"/>
  <c r="BJ108" i="50"/>
  <c r="BO108" i="50"/>
  <c r="BS108" i="50"/>
  <c r="AH108" i="50"/>
  <c r="AQ108" i="50"/>
  <c r="AZ108" i="50"/>
  <c r="BI108" i="50"/>
  <c r="BR108" i="50"/>
  <c r="AC108" i="50"/>
  <c r="AU108" i="50"/>
  <c r="BE108" i="50"/>
  <c r="BN108" i="50"/>
  <c r="AA108" i="50"/>
  <c r="AS108" i="50"/>
  <c r="BK108" i="50"/>
  <c r="AX108" i="50"/>
  <c r="BP108" i="50"/>
  <c r="AJ108" i="50"/>
  <c r="BB108" i="50"/>
  <c r="AO108" i="50"/>
  <c r="BG108" i="50"/>
  <c r="U123" i="10"/>
  <c r="Y123" i="10"/>
  <c r="AD123" i="10"/>
  <c r="AM123" i="10"/>
  <c r="AR123" i="10"/>
  <c r="AV123" i="10"/>
  <c r="BA123" i="10"/>
  <c r="BE123" i="10"/>
  <c r="AC123" i="10"/>
  <c r="BD123" i="10"/>
  <c r="V123" i="10"/>
  <c r="AE123" i="10"/>
  <c r="AJ123" i="10"/>
  <c r="AN123" i="10"/>
  <c r="AS123" i="10"/>
  <c r="AW123" i="10"/>
  <c r="BB123" i="10"/>
  <c r="X123" i="10"/>
  <c r="AG123" i="10"/>
  <c r="AU123" i="10"/>
  <c r="W123" i="10"/>
  <c r="AB123" i="10"/>
  <c r="AF123" i="10"/>
  <c r="AK123" i="10"/>
  <c r="AO123" i="10"/>
  <c r="AT123" i="10"/>
  <c r="BC123" i="10"/>
  <c r="T123" i="10"/>
  <c r="AL123" i="10"/>
  <c r="AZ123" i="10"/>
  <c r="T114" i="10"/>
  <c r="X114" i="10"/>
  <c r="AC114" i="10"/>
  <c r="AG114" i="10"/>
  <c r="AL114" i="10"/>
  <c r="AU114" i="10"/>
  <c r="AZ114" i="10"/>
  <c r="BD114" i="10"/>
  <c r="W114" i="10"/>
  <c r="AK114" i="10"/>
  <c r="AT114" i="10"/>
  <c r="U114" i="10"/>
  <c r="Y114" i="10"/>
  <c r="AD114" i="10"/>
  <c r="AM114" i="10"/>
  <c r="AR114" i="10"/>
  <c r="AV114" i="10"/>
  <c r="BA114" i="10"/>
  <c r="BE114" i="10"/>
  <c r="AB114" i="10"/>
  <c r="AO114" i="10"/>
  <c r="V114" i="10"/>
  <c r="AE114" i="10"/>
  <c r="AJ114" i="10"/>
  <c r="AN114" i="10"/>
  <c r="AS114" i="10"/>
  <c r="AW114" i="10"/>
  <c r="BB114" i="10"/>
  <c r="AF114" i="10"/>
  <c r="BC114" i="10"/>
  <c r="W117" i="10"/>
  <c r="AB117" i="10"/>
  <c r="AF117" i="10"/>
  <c r="AK117" i="10"/>
  <c r="AO117" i="10"/>
  <c r="AT117" i="10"/>
  <c r="BC117" i="10"/>
  <c r="V117" i="10"/>
  <c r="AJ117" i="10"/>
  <c r="AW117" i="10"/>
  <c r="T117" i="10"/>
  <c r="X117" i="10"/>
  <c r="AC117" i="10"/>
  <c r="AG117" i="10"/>
  <c r="AL117" i="10"/>
  <c r="AU117" i="10"/>
  <c r="AZ117" i="10"/>
  <c r="BD117" i="10"/>
  <c r="AE117" i="10"/>
  <c r="AS117" i="10"/>
  <c r="BB117" i="10"/>
  <c r="U117" i="10"/>
  <c r="Y117" i="10"/>
  <c r="AD117" i="10"/>
  <c r="AM117" i="10"/>
  <c r="AR117" i="10"/>
  <c r="AV117" i="10"/>
  <c r="BA117" i="10"/>
  <c r="BE117" i="10"/>
  <c r="AN117" i="10"/>
  <c r="V120" i="10"/>
  <c r="AE120" i="10"/>
  <c r="AJ120" i="10"/>
  <c r="AN120" i="10"/>
  <c r="AS120" i="10"/>
  <c r="AW120" i="10"/>
  <c r="BB120" i="10"/>
  <c r="AD120" i="10"/>
  <c r="AR120" i="10"/>
  <c r="BE120" i="10"/>
  <c r="W120" i="10"/>
  <c r="AB120" i="10"/>
  <c r="AF120" i="10"/>
  <c r="AK120" i="10"/>
  <c r="AO120" i="10"/>
  <c r="AT120" i="10"/>
  <c r="BC120" i="10"/>
  <c r="Y120" i="10"/>
  <c r="AM120" i="10"/>
  <c r="BA120" i="10"/>
  <c r="T120" i="10"/>
  <c r="X120" i="10"/>
  <c r="AC120" i="10"/>
  <c r="AG120" i="10"/>
  <c r="AL120" i="10"/>
  <c r="AU120" i="10"/>
  <c r="AZ120" i="10"/>
  <c r="BD120" i="10"/>
  <c r="U120" i="10"/>
  <c r="AV120" i="10"/>
  <c r="AC52" i="50"/>
  <c r="AH52" i="50"/>
  <c r="AQ52" i="50"/>
  <c r="AZ52" i="50"/>
  <c r="BE52" i="50"/>
  <c r="BI52" i="50"/>
  <c r="BN52" i="50"/>
  <c r="BR52" i="50"/>
  <c r="AA52" i="50"/>
  <c r="AJ52" i="50"/>
  <c r="AO52" i="50"/>
  <c r="AS52" i="50"/>
  <c r="AX52" i="50"/>
  <c r="BB52" i="50"/>
  <c r="BG52" i="50"/>
  <c r="BP52" i="50"/>
  <c r="AF52" i="50"/>
  <c r="AP52" i="50"/>
  <c r="AY52" i="50"/>
  <c r="BH52" i="50"/>
  <c r="BQ52" i="50"/>
  <c r="AB52" i="50"/>
  <c r="AK52" i="50"/>
  <c r="AT52" i="50"/>
  <c r="BM52" i="50"/>
  <c r="AM52" i="50"/>
  <c r="BF52" i="50"/>
  <c r="AI52" i="50"/>
  <c r="BA52" i="50"/>
  <c r="BS52" i="50"/>
  <c r="AW52" i="50"/>
  <c r="AR52" i="50"/>
  <c r="BO52" i="50"/>
  <c r="AD52" i="50"/>
  <c r="BJ52" i="50"/>
  <c r="AJ127" i="50"/>
  <c r="BK127" i="50"/>
  <c r="BE127" i="50"/>
  <c r="BR127" i="50"/>
  <c r="AH127" i="50"/>
  <c r="BF127" i="50"/>
  <c r="AM127" i="50"/>
  <c r="BM127" i="50"/>
  <c r="AT127" i="50"/>
  <c r="AB127" i="50"/>
  <c r="X127" i="50"/>
  <c r="AC31" i="50"/>
  <c r="AH31" i="50"/>
  <c r="AQ31" i="50"/>
  <c r="AU31" i="50"/>
  <c r="AZ31" i="50"/>
  <c r="BE31" i="50"/>
  <c r="BI31" i="50"/>
  <c r="BN31" i="50"/>
  <c r="BR31" i="50"/>
  <c r="AA31" i="50"/>
  <c r="AJ31" i="50"/>
  <c r="AS31" i="50"/>
  <c r="AX31" i="50"/>
  <c r="BB31" i="50"/>
  <c r="BG31" i="50"/>
  <c r="BK31" i="50"/>
  <c r="BP31" i="50"/>
  <c r="AF31" i="50"/>
  <c r="AP31" i="50"/>
  <c r="AY31" i="50"/>
  <c r="BH31" i="50"/>
  <c r="BQ31" i="50"/>
  <c r="AB31" i="50"/>
  <c r="AK31" i="50"/>
  <c r="AT31" i="50"/>
  <c r="BC31" i="50"/>
  <c r="BM31" i="50"/>
  <c r="AM31" i="50"/>
  <c r="BF31" i="50"/>
  <c r="AD31" i="50"/>
  <c r="BO31" i="50"/>
  <c r="AI31" i="50"/>
  <c r="BS31" i="50"/>
  <c r="BJ31" i="50"/>
  <c r="AR31" i="50"/>
  <c r="BA31" i="50"/>
  <c r="AC4" i="50"/>
  <c r="AH4" i="50"/>
  <c r="AQ4" i="50"/>
  <c r="AZ4" i="50"/>
  <c r="BE4" i="50"/>
  <c r="BI4" i="50"/>
  <c r="BN4" i="50"/>
  <c r="BR4" i="50"/>
  <c r="AA4" i="50"/>
  <c r="AJ4" i="50"/>
  <c r="AO4" i="50"/>
  <c r="AS4" i="50"/>
  <c r="AX4" i="50"/>
  <c r="BB4" i="50"/>
  <c r="BG4" i="50"/>
  <c r="BP4" i="50"/>
  <c r="AF4" i="50"/>
  <c r="AP4" i="50"/>
  <c r="AY4" i="50"/>
  <c r="BH4" i="50"/>
  <c r="BQ4" i="50"/>
  <c r="AB4" i="50"/>
  <c r="AK4" i="50"/>
  <c r="AT4" i="50"/>
  <c r="BM4" i="50"/>
  <c r="AM4" i="50"/>
  <c r="BF4" i="50"/>
  <c r="AD4" i="50"/>
  <c r="AW4" i="50"/>
  <c r="BO4" i="50"/>
  <c r="AI4" i="50"/>
  <c r="BS4" i="50"/>
  <c r="BA4" i="50"/>
  <c r="BJ4" i="50"/>
  <c r="AR4" i="50"/>
  <c r="V5" i="10"/>
  <c r="AA5" i="10"/>
  <c r="AE5" i="10"/>
  <c r="AJ5" i="10"/>
  <c r="AN5" i="10"/>
  <c r="AS5" i="10"/>
  <c r="AW5" i="10"/>
  <c r="BB5" i="10"/>
  <c r="S5" i="10"/>
  <c r="W5" i="10"/>
  <c r="AB5" i="10"/>
  <c r="AF5" i="10"/>
  <c r="AK5" i="10"/>
  <c r="AO5" i="10"/>
  <c r="AT5" i="10"/>
  <c r="AY5" i="10"/>
  <c r="BC5" i="10"/>
  <c r="T5" i="10"/>
  <c r="X5" i="10"/>
  <c r="AC5" i="10"/>
  <c r="AG5" i="10"/>
  <c r="AL5" i="10"/>
  <c r="AQ5" i="10"/>
  <c r="AU5" i="10"/>
  <c r="AZ5" i="10"/>
  <c r="BD5" i="10"/>
  <c r="AI5" i="10"/>
  <c r="BA5" i="10"/>
  <c r="U5" i="10"/>
  <c r="AM5" i="10"/>
  <c r="BE5" i="10"/>
  <c r="Y5" i="10"/>
  <c r="AR5" i="10"/>
  <c r="AD5" i="10"/>
  <c r="AV5" i="10"/>
  <c r="T7" i="10"/>
  <c r="X7" i="10"/>
  <c r="AC7" i="10"/>
  <c r="AL7" i="10"/>
  <c r="AQ7" i="10"/>
  <c r="AU7" i="10"/>
  <c r="AZ7" i="10"/>
  <c r="BD7" i="10"/>
  <c r="U7" i="10"/>
  <c r="AD7" i="10"/>
  <c r="AI7" i="10"/>
  <c r="AM7" i="10"/>
  <c r="AR7" i="10"/>
  <c r="AV7" i="10"/>
  <c r="BA7" i="10"/>
  <c r="V7" i="10"/>
  <c r="AA7" i="10"/>
  <c r="AE7" i="10"/>
  <c r="AJ7" i="10"/>
  <c r="AN7" i="10"/>
  <c r="AS7" i="10"/>
  <c r="BB7" i="10"/>
  <c r="S7" i="10"/>
  <c r="AK7" i="10"/>
  <c r="BC7" i="10"/>
  <c r="W7" i="10"/>
  <c r="AB7" i="10"/>
  <c r="AT7" i="10"/>
  <c r="AY7" i="10"/>
  <c r="AF7" i="10"/>
  <c r="T98" i="10"/>
  <c r="X98" i="10"/>
  <c r="AC98" i="10"/>
  <c r="AG98" i="10"/>
  <c r="AL98" i="10"/>
  <c r="AR98" i="10"/>
  <c r="AV98" i="10"/>
  <c r="BB98" i="10"/>
  <c r="AF98" i="10"/>
  <c r="AU98" i="10"/>
  <c r="BE98" i="10"/>
  <c r="U98" i="10"/>
  <c r="Y98" i="10"/>
  <c r="AD98" i="10"/>
  <c r="AM98" i="10"/>
  <c r="AS98" i="10"/>
  <c r="AW98" i="10"/>
  <c r="BC98" i="10"/>
  <c r="W98" i="10"/>
  <c r="AK98" i="10"/>
  <c r="BA98" i="10"/>
  <c r="V98" i="10"/>
  <c r="AE98" i="10"/>
  <c r="AJ98" i="10"/>
  <c r="AN98" i="10"/>
  <c r="AT98" i="10"/>
  <c r="AZ98" i="10"/>
  <c r="BD98" i="10"/>
  <c r="AB98" i="10"/>
  <c r="AO98" i="10"/>
  <c r="V37" i="10"/>
  <c r="AA37" i="10"/>
  <c r="AJ37" i="10"/>
  <c r="AN37" i="10"/>
  <c r="AS37" i="10"/>
  <c r="BB37" i="10"/>
  <c r="S37" i="10"/>
  <c r="AB37" i="10"/>
  <c r="AF37" i="10"/>
  <c r="AK37" i="10"/>
  <c r="AT37" i="10"/>
  <c r="AY37" i="10"/>
  <c r="T37" i="10"/>
  <c r="X37" i="10"/>
  <c r="AC37" i="10"/>
  <c r="AL37" i="10"/>
  <c r="AQ37" i="10"/>
  <c r="AZ37" i="10"/>
  <c r="BD37" i="10"/>
  <c r="AD37" i="10"/>
  <c r="AV37" i="10"/>
  <c r="AI37" i="10"/>
  <c r="BA37" i="10"/>
  <c r="AR37" i="10"/>
  <c r="U37" i="10"/>
  <c r="BE37" i="10"/>
  <c r="T34" i="10"/>
  <c r="Y34" i="10"/>
  <c r="AD34" i="10"/>
  <c r="AJ34" i="10"/>
  <c r="AO34" i="10"/>
  <c r="AT34" i="10"/>
  <c r="AZ34" i="10"/>
  <c r="BD34" i="10"/>
  <c r="BJ34" i="10"/>
  <c r="AA34" i="10"/>
  <c r="AE34" i="10"/>
  <c r="AQ34" i="10"/>
  <c r="AU34" i="10"/>
  <c r="BA34" i="10"/>
  <c r="BE34" i="10"/>
  <c r="BQ34" i="10"/>
  <c r="V34" i="10"/>
  <c r="AB34" i="10"/>
  <c r="AG34" i="10"/>
  <c r="AL34" i="10"/>
  <c r="AR34" i="10"/>
  <c r="AW34" i="10"/>
  <c r="BB34" i="10"/>
  <c r="BG34" i="10"/>
  <c r="BL34" i="10"/>
  <c r="AI34" i="10"/>
  <c r="BC34" i="10"/>
  <c r="BS34" i="10"/>
  <c r="S34" i="10"/>
  <c r="AM34" i="10"/>
  <c r="W34" i="10"/>
  <c r="BN34" i="10"/>
  <c r="AY34" i="10"/>
  <c r="AA41" i="10"/>
  <c r="AE41" i="10"/>
  <c r="AJ41" i="10"/>
  <c r="AN41" i="10"/>
  <c r="AS41" i="10"/>
  <c r="AW41" i="10"/>
  <c r="S41" i="10"/>
  <c r="W41" i="10"/>
  <c r="AB41" i="10"/>
  <c r="AF41" i="10"/>
  <c r="AK41" i="10"/>
  <c r="AO41" i="10"/>
  <c r="AY41" i="10"/>
  <c r="BC41" i="10"/>
  <c r="T41" i="10"/>
  <c r="X41" i="10"/>
  <c r="AC41" i="10"/>
  <c r="AG41" i="10"/>
  <c r="AQ41" i="10"/>
  <c r="AU41" i="10"/>
  <c r="AZ41" i="10"/>
  <c r="BD41" i="10"/>
  <c r="AI41" i="10"/>
  <c r="BA41" i="10"/>
  <c r="U41" i="10"/>
  <c r="AM41" i="10"/>
  <c r="BE41" i="10"/>
  <c r="AV41" i="10"/>
  <c r="Y41" i="10"/>
  <c r="AR41" i="10"/>
  <c r="T44" i="50"/>
  <c r="X44" i="50"/>
  <c r="U44" i="50"/>
  <c r="Y44" i="50"/>
  <c r="S44" i="50"/>
  <c r="W44" i="50"/>
  <c r="AB85" i="50"/>
  <c r="AF85" i="50"/>
  <c r="AK85" i="50"/>
  <c r="AP85" i="50"/>
  <c r="AT85" i="50"/>
  <c r="AY85" i="50"/>
  <c r="BC85" i="50"/>
  <c r="BM85" i="50"/>
  <c r="BQ85" i="50"/>
  <c r="AD85" i="50"/>
  <c r="AI85" i="50"/>
  <c r="AM85" i="50"/>
  <c r="AW85" i="50"/>
  <c r="BA85" i="50"/>
  <c r="BF85" i="50"/>
  <c r="BJ85" i="50"/>
  <c r="BO85" i="50"/>
  <c r="BS85" i="50"/>
  <c r="AO85" i="50"/>
  <c r="AX85" i="50"/>
  <c r="BG85" i="50"/>
  <c r="AU85" i="50"/>
  <c r="BE85" i="50"/>
  <c r="BN85" i="50"/>
  <c r="AA85" i="50"/>
  <c r="AS85" i="50"/>
  <c r="BK85" i="50"/>
  <c r="AH85" i="50"/>
  <c r="BR85" i="50"/>
  <c r="BB85" i="50"/>
  <c r="AQ85" i="50"/>
  <c r="BI85" i="50"/>
  <c r="AB89" i="50"/>
  <c r="AK89" i="50"/>
  <c r="AP89" i="50"/>
  <c r="AT89" i="50"/>
  <c r="AY89" i="50"/>
  <c r="BC89" i="50"/>
  <c r="BH89" i="50"/>
  <c r="BM89" i="50"/>
  <c r="AD89" i="50"/>
  <c r="AI89" i="50"/>
  <c r="AR89" i="50"/>
  <c r="AW89" i="50"/>
  <c r="BF89" i="50"/>
  <c r="BJ89" i="50"/>
  <c r="BO89" i="50"/>
  <c r="BS89" i="50"/>
  <c r="AO89" i="50"/>
  <c r="AX89" i="50"/>
  <c r="BG89" i="50"/>
  <c r="AC89" i="50"/>
  <c r="AU89" i="50"/>
  <c r="BE89" i="50"/>
  <c r="BN89" i="50"/>
  <c r="AA89" i="50"/>
  <c r="BK89" i="50"/>
  <c r="AH89" i="50"/>
  <c r="AZ89" i="50"/>
  <c r="BP89" i="50"/>
  <c r="AJ89" i="50"/>
  <c r="BB89" i="50"/>
  <c r="BR89" i="50"/>
  <c r="AQ89" i="50"/>
  <c r="AA97" i="50"/>
  <c r="AJ97" i="50"/>
  <c r="AO97" i="50"/>
  <c r="AS97" i="50"/>
  <c r="AX97" i="50"/>
  <c r="BB97" i="50"/>
  <c r="BG97" i="50"/>
  <c r="BK97" i="50"/>
  <c r="BP97" i="50"/>
  <c r="AC97" i="50"/>
  <c r="AH97" i="50"/>
  <c r="AQ97" i="50"/>
  <c r="AU97" i="50"/>
  <c r="AZ97" i="50"/>
  <c r="BE97" i="50"/>
  <c r="BI97" i="50"/>
  <c r="BN97" i="50"/>
  <c r="BR97" i="50"/>
  <c r="AF97" i="50"/>
  <c r="AP97" i="50"/>
  <c r="AY97" i="50"/>
  <c r="BH97" i="50"/>
  <c r="BQ97" i="50"/>
  <c r="AB97" i="50"/>
  <c r="AK97" i="50"/>
  <c r="AT97" i="50"/>
  <c r="BC97" i="50"/>
  <c r="BM97" i="50"/>
  <c r="AR97" i="50"/>
  <c r="BJ97" i="50"/>
  <c r="AD97" i="50"/>
  <c r="AW97" i="50"/>
  <c r="BO97" i="50"/>
  <c r="AI97" i="50"/>
  <c r="BA97" i="50"/>
  <c r="BS97" i="50"/>
  <c r="AM97" i="50"/>
  <c r="BF97" i="50"/>
  <c r="AH47" i="50"/>
  <c r="AQ47" i="50"/>
  <c r="AU47" i="50"/>
  <c r="BE47" i="50"/>
  <c r="BI47" i="50"/>
  <c r="BN47" i="50"/>
  <c r="BR47" i="50"/>
  <c r="AA47" i="50"/>
  <c r="AO47" i="50"/>
  <c r="AS47" i="50"/>
  <c r="AX47" i="50"/>
  <c r="BB47" i="50"/>
  <c r="BG47" i="50"/>
  <c r="BK47" i="50"/>
  <c r="BP47" i="50"/>
  <c r="AF47" i="50"/>
  <c r="AP47" i="50"/>
  <c r="AY47" i="50"/>
  <c r="BQ47" i="50"/>
  <c r="AB47" i="50"/>
  <c r="AK47" i="50"/>
  <c r="AT47" i="50"/>
  <c r="BC47" i="50"/>
  <c r="BM47" i="50"/>
  <c r="AM47" i="50"/>
  <c r="BF47" i="50"/>
  <c r="AI47" i="50"/>
  <c r="BA47" i="50"/>
  <c r="BS47" i="50"/>
  <c r="AD47" i="50"/>
  <c r="BO47" i="50"/>
  <c r="BJ47" i="50"/>
  <c r="AW47" i="50"/>
  <c r="S67" i="10"/>
  <c r="W67" i="10"/>
  <c r="AB67" i="10"/>
  <c r="AK67" i="10"/>
  <c r="AO67" i="10"/>
  <c r="AT67" i="10"/>
  <c r="AY67" i="10"/>
  <c r="BC67" i="10"/>
  <c r="T67" i="10"/>
  <c r="AC67" i="10"/>
  <c r="AG67" i="10"/>
  <c r="AL67" i="10"/>
  <c r="AQ67" i="10"/>
  <c r="AU67" i="10"/>
  <c r="AZ67" i="10"/>
  <c r="U67" i="10"/>
  <c r="Y67" i="10"/>
  <c r="AD67" i="10"/>
  <c r="AI67" i="10"/>
  <c r="AM67" i="10"/>
  <c r="AR67" i="10"/>
  <c r="BA67" i="10"/>
  <c r="BE67" i="10"/>
  <c r="V67" i="10"/>
  <c r="AJ67" i="10"/>
  <c r="AA67" i="10"/>
  <c r="AS67" i="10"/>
  <c r="BB67" i="10"/>
  <c r="AE67" i="10"/>
  <c r="AW67" i="10"/>
  <c r="V69" i="50"/>
  <c r="T69" i="50"/>
  <c r="U69" i="50"/>
  <c r="S69" i="50"/>
  <c r="Y69" i="50"/>
  <c r="W69" i="50"/>
  <c r="V72" i="50"/>
  <c r="T72" i="50"/>
  <c r="U72" i="50"/>
  <c r="S72" i="50"/>
  <c r="Y72" i="50"/>
  <c r="W72" i="50"/>
  <c r="T51" i="50"/>
  <c r="X51" i="50"/>
  <c r="W51" i="50"/>
  <c r="S51" i="50"/>
  <c r="U51" i="50"/>
  <c r="Y51" i="50"/>
  <c r="W91" i="50"/>
  <c r="U91" i="50"/>
  <c r="Y91" i="50"/>
  <c r="T91" i="50"/>
  <c r="V91" i="50"/>
  <c r="X91" i="50"/>
  <c r="U115" i="10"/>
  <c r="Y115" i="10"/>
  <c r="AD115" i="10"/>
  <c r="AM115" i="10"/>
  <c r="AR115" i="10"/>
  <c r="AV115" i="10"/>
  <c r="BA115" i="10"/>
  <c r="BE115" i="10"/>
  <c r="T115" i="10"/>
  <c r="AG115" i="10"/>
  <c r="AU115" i="10"/>
  <c r="V115" i="10"/>
  <c r="AE115" i="10"/>
  <c r="AJ115" i="10"/>
  <c r="AN115" i="10"/>
  <c r="AS115" i="10"/>
  <c r="AW115" i="10"/>
  <c r="BB115" i="10"/>
  <c r="X115" i="10"/>
  <c r="AL115" i="10"/>
  <c r="AZ115" i="10"/>
  <c r="W115" i="10"/>
  <c r="AB115" i="10"/>
  <c r="AF115" i="10"/>
  <c r="AK115" i="10"/>
  <c r="AO115" i="10"/>
  <c r="AT115" i="10"/>
  <c r="BC115" i="10"/>
  <c r="AC115" i="10"/>
  <c r="BD115" i="10"/>
  <c r="AO127" i="50"/>
  <c r="AA127" i="50"/>
  <c r="BO127" i="50"/>
  <c r="BC127" i="50"/>
  <c r="U127" i="50"/>
  <c r="T14" i="50"/>
  <c r="X14" i="50"/>
  <c r="V14" i="50"/>
  <c r="W14" i="50"/>
  <c r="U14" i="50"/>
  <c r="Y14" i="50"/>
  <c r="V31" i="10"/>
  <c r="AA31" i="10"/>
  <c r="AE31" i="10"/>
  <c r="AJ31" i="10"/>
  <c r="S31" i="10"/>
  <c r="W31" i="10"/>
  <c r="AB31" i="10"/>
  <c r="AF31" i="10"/>
  <c r="T31" i="10"/>
  <c r="X31" i="10"/>
  <c r="AC31" i="10"/>
  <c r="AG31" i="10"/>
  <c r="U31" i="10"/>
  <c r="AK31" i="10"/>
  <c r="AO31" i="10"/>
  <c r="AT31" i="10"/>
  <c r="AY31" i="10"/>
  <c r="BC31" i="10"/>
  <c r="Y31" i="10"/>
  <c r="AL31" i="10"/>
  <c r="AQ31" i="10"/>
  <c r="AU31" i="10"/>
  <c r="AZ31" i="10"/>
  <c r="BD31" i="10"/>
  <c r="AD31" i="10"/>
  <c r="AM31" i="10"/>
  <c r="AR31" i="10"/>
  <c r="AV31" i="10"/>
  <c r="BA31" i="10"/>
  <c r="BE31" i="10"/>
  <c r="AN31" i="10"/>
  <c r="AI31" i="10"/>
  <c r="AS31" i="10"/>
  <c r="AW31" i="10"/>
  <c r="BB31" i="10"/>
  <c r="AC32" i="50"/>
  <c r="AH32" i="50"/>
  <c r="AQ32" i="50"/>
  <c r="AU32" i="50"/>
  <c r="AZ32" i="50"/>
  <c r="BE32" i="50"/>
  <c r="BI32" i="50"/>
  <c r="BN32" i="50"/>
  <c r="BR32" i="50"/>
  <c r="AA32" i="50"/>
  <c r="AJ32" i="50"/>
  <c r="AS32" i="50"/>
  <c r="AX32" i="50"/>
  <c r="BB32" i="50"/>
  <c r="BG32" i="50"/>
  <c r="BK32" i="50"/>
  <c r="BP32" i="50"/>
  <c r="AF32" i="50"/>
  <c r="AP32" i="50"/>
  <c r="AY32" i="50"/>
  <c r="BH32" i="50"/>
  <c r="BQ32" i="50"/>
  <c r="AB32" i="50"/>
  <c r="AK32" i="50"/>
  <c r="AT32" i="50"/>
  <c r="BC32" i="50"/>
  <c r="AM32" i="50"/>
  <c r="BF32" i="50"/>
  <c r="AD32" i="50"/>
  <c r="BO32" i="50"/>
  <c r="BA32" i="50"/>
  <c r="AR32" i="50"/>
  <c r="AI32" i="50"/>
  <c r="BS32" i="50"/>
  <c r="BJ32" i="50"/>
  <c r="T15" i="50"/>
  <c r="X15" i="50"/>
  <c r="W15" i="50"/>
  <c r="S15" i="50"/>
  <c r="U15" i="50"/>
  <c r="Y15" i="50"/>
  <c r="U4" i="10"/>
  <c r="Y4" i="10"/>
  <c r="AD4" i="10"/>
  <c r="AI4" i="10"/>
  <c r="AM4" i="10"/>
  <c r="AR4" i="10"/>
  <c r="AV4" i="10"/>
  <c r="BA4" i="10"/>
  <c r="BE4" i="10"/>
  <c r="V4" i="10"/>
  <c r="AA4" i="10"/>
  <c r="AE4" i="10"/>
  <c r="AJ4" i="10"/>
  <c r="AN4" i="10"/>
  <c r="AS4" i="10"/>
  <c r="AW4" i="10"/>
  <c r="BB4" i="10"/>
  <c r="S4" i="10"/>
  <c r="W4" i="10"/>
  <c r="AB4" i="10"/>
  <c r="AF4" i="10"/>
  <c r="AK4" i="10"/>
  <c r="AO4" i="10"/>
  <c r="AT4" i="10"/>
  <c r="AY4" i="10"/>
  <c r="BC4" i="10"/>
  <c r="AG4" i="10"/>
  <c r="AZ4" i="10"/>
  <c r="T4" i="10"/>
  <c r="AL4" i="10"/>
  <c r="BD4" i="10"/>
  <c r="X4" i="10"/>
  <c r="AQ4" i="10"/>
  <c r="AC4" i="10"/>
  <c r="AU4" i="10"/>
  <c r="AA17" i="50"/>
  <c r="AJ17" i="50"/>
  <c r="AS17" i="50"/>
  <c r="AX17" i="50"/>
  <c r="BB17" i="50"/>
  <c r="BG17" i="50"/>
  <c r="BK17" i="50"/>
  <c r="BP17" i="50"/>
  <c r="AC17" i="50"/>
  <c r="AH17" i="50"/>
  <c r="AQ17" i="50"/>
  <c r="AU17" i="50"/>
  <c r="AZ17" i="50"/>
  <c r="BE17" i="50"/>
  <c r="BI17" i="50"/>
  <c r="BN17" i="50"/>
  <c r="BR17" i="50"/>
  <c r="AI17" i="50"/>
  <c r="AR17" i="50"/>
  <c r="BA17" i="50"/>
  <c r="BJ17" i="50"/>
  <c r="BS17" i="50"/>
  <c r="AD17" i="50"/>
  <c r="AM17" i="50"/>
  <c r="BF17" i="50"/>
  <c r="BO17" i="50"/>
  <c r="AF17" i="50"/>
  <c r="AY17" i="50"/>
  <c r="BQ17" i="50"/>
  <c r="AP17" i="50"/>
  <c r="BH17" i="50"/>
  <c r="AB17" i="50"/>
  <c r="BM17" i="50"/>
  <c r="AT17" i="50"/>
  <c r="BC17" i="50"/>
  <c r="AK17" i="50"/>
  <c r="V18" i="50"/>
  <c r="T18" i="50"/>
  <c r="X18" i="50"/>
  <c r="Y18" i="50"/>
  <c r="U18" i="50"/>
  <c r="W18" i="50"/>
  <c r="S18" i="50"/>
  <c r="S6" i="10"/>
  <c r="W6" i="10"/>
  <c r="AB6" i="10"/>
  <c r="AF6" i="10"/>
  <c r="AK6" i="10"/>
  <c r="AO6" i="10"/>
  <c r="AT6" i="10"/>
  <c r="AY6" i="10"/>
  <c r="BC6" i="10"/>
  <c r="T6" i="10"/>
  <c r="X6" i="10"/>
  <c r="AC6" i="10"/>
  <c r="AG6" i="10"/>
  <c r="AL6" i="10"/>
  <c r="AQ6" i="10"/>
  <c r="AU6" i="10"/>
  <c r="AZ6" i="10"/>
  <c r="BD6" i="10"/>
  <c r="U6" i="10"/>
  <c r="Y6" i="10"/>
  <c r="AD6" i="10"/>
  <c r="AI6" i="10"/>
  <c r="AM6" i="10"/>
  <c r="AR6" i="10"/>
  <c r="AV6" i="10"/>
  <c r="BA6" i="10"/>
  <c r="BE6" i="10"/>
  <c r="AJ6" i="10"/>
  <c r="BB6" i="10"/>
  <c r="V6" i="10"/>
  <c r="AN6" i="10"/>
  <c r="AA6" i="10"/>
  <c r="AS6" i="10"/>
  <c r="AW6" i="10"/>
  <c r="AE6" i="10"/>
  <c r="AA19" i="50"/>
  <c r="AJ19" i="50"/>
  <c r="AS19" i="50"/>
  <c r="AX19" i="50"/>
  <c r="BB19" i="50"/>
  <c r="BG19" i="50"/>
  <c r="BK19" i="50"/>
  <c r="BP19" i="50"/>
  <c r="AC19" i="50"/>
  <c r="AH19" i="50"/>
  <c r="AQ19" i="50"/>
  <c r="AU19" i="50"/>
  <c r="AZ19" i="50"/>
  <c r="BE19" i="50"/>
  <c r="BI19" i="50"/>
  <c r="BN19" i="50"/>
  <c r="BR19" i="50"/>
  <c r="AI19" i="50"/>
  <c r="AR19" i="50"/>
  <c r="BA19" i="50"/>
  <c r="BJ19" i="50"/>
  <c r="BS19" i="50"/>
  <c r="AD19" i="50"/>
  <c r="AM19" i="50"/>
  <c r="BF19" i="50"/>
  <c r="BO19" i="50"/>
  <c r="AF19" i="50"/>
  <c r="AY19" i="50"/>
  <c r="BQ19" i="50"/>
  <c r="AP19" i="50"/>
  <c r="BH19" i="50"/>
  <c r="AB19" i="50"/>
  <c r="BM19" i="50"/>
  <c r="AT19" i="50"/>
  <c r="BC19" i="50"/>
  <c r="AK19" i="50"/>
  <c r="V20" i="50"/>
  <c r="T20" i="50"/>
  <c r="X20" i="50"/>
  <c r="Y20" i="50"/>
  <c r="U20" i="50"/>
  <c r="W20" i="50"/>
  <c r="S20" i="50"/>
  <c r="T21" i="10"/>
  <c r="X21" i="10"/>
  <c r="AC21" i="10"/>
  <c r="AG21" i="10"/>
  <c r="AL21" i="10"/>
  <c r="AU21" i="10"/>
  <c r="AZ21" i="10"/>
  <c r="BD21" i="10"/>
  <c r="U21" i="10"/>
  <c r="Y21" i="10"/>
  <c r="AD21" i="10"/>
  <c r="AM21" i="10"/>
  <c r="AR21" i="10"/>
  <c r="AV21" i="10"/>
  <c r="BA21" i="10"/>
  <c r="BE21" i="10"/>
  <c r="V21" i="10"/>
  <c r="AE21" i="10"/>
  <c r="AJ21" i="10"/>
  <c r="AN21" i="10"/>
  <c r="AS21" i="10"/>
  <c r="AW21" i="10"/>
  <c r="BB21" i="10"/>
  <c r="AF21" i="10"/>
  <c r="AK21" i="10"/>
  <c r="BC21" i="10"/>
  <c r="W21" i="10"/>
  <c r="AO21" i="10"/>
  <c r="AB21" i="10"/>
  <c r="AT21" i="10"/>
  <c r="AB101" i="50"/>
  <c r="AF101" i="50"/>
  <c r="AK101" i="50"/>
  <c r="AP101" i="50"/>
  <c r="AT101" i="50"/>
  <c r="AY101" i="50"/>
  <c r="BC101" i="50"/>
  <c r="BH101" i="50"/>
  <c r="BM101" i="50"/>
  <c r="BQ101" i="50"/>
  <c r="AD101" i="50"/>
  <c r="AI101" i="50"/>
  <c r="AM101" i="50"/>
  <c r="AR101" i="50"/>
  <c r="AW101" i="50"/>
  <c r="BA101" i="50"/>
  <c r="BF101" i="50"/>
  <c r="BJ101" i="50"/>
  <c r="BO101" i="50"/>
  <c r="BS101" i="50"/>
  <c r="AH101" i="50"/>
  <c r="AQ101" i="50"/>
  <c r="AZ101" i="50"/>
  <c r="BI101" i="50"/>
  <c r="BR101" i="50"/>
  <c r="AC101" i="50"/>
  <c r="AU101" i="50"/>
  <c r="BE101" i="50"/>
  <c r="BN101" i="50"/>
  <c r="AA101" i="50"/>
  <c r="AS101" i="50"/>
  <c r="BK101" i="50"/>
  <c r="AX101" i="50"/>
  <c r="BP101" i="50"/>
  <c r="AJ101" i="50"/>
  <c r="BB101" i="50"/>
  <c r="AO101" i="50"/>
  <c r="BG101" i="50"/>
  <c r="T83" i="50"/>
  <c r="X83" i="50"/>
  <c r="U83" i="50"/>
  <c r="S83" i="50"/>
  <c r="Y83" i="50"/>
  <c r="W83" i="50"/>
  <c r="T84" i="10"/>
  <c r="Y84" i="10"/>
  <c r="AJ84" i="10"/>
  <c r="AN84" i="10"/>
  <c r="AT84" i="10"/>
  <c r="AY84" i="10"/>
  <c r="BD84" i="10"/>
  <c r="V84" i="10"/>
  <c r="AA84" i="10"/>
  <c r="AF84" i="10"/>
  <c r="AO84" i="10"/>
  <c r="AZ84" i="10"/>
  <c r="BE84" i="10"/>
  <c r="AB84" i="10"/>
  <c r="AG84" i="10"/>
  <c r="AL84" i="10"/>
  <c r="AQ84" i="10"/>
  <c r="AV84" i="10"/>
  <c r="BB84" i="10"/>
  <c r="S84" i="10"/>
  <c r="AM84" i="10"/>
  <c r="X84" i="10"/>
  <c r="AR84" i="10"/>
  <c r="AD84" i="10"/>
  <c r="AW84" i="10"/>
  <c r="AI84" i="10"/>
  <c r="AB35" i="50"/>
  <c r="AJ35" i="50"/>
  <c r="AO35" i="50"/>
  <c r="AS35" i="50"/>
  <c r="AX35" i="50"/>
  <c r="BB35" i="50"/>
  <c r="BG35" i="50"/>
  <c r="BK35" i="50"/>
  <c r="BP35" i="50"/>
  <c r="AC35" i="50"/>
  <c r="AH35" i="50"/>
  <c r="AQ35" i="50"/>
  <c r="AU35" i="50"/>
  <c r="AZ35" i="50"/>
  <c r="BE35" i="50"/>
  <c r="BI35" i="50"/>
  <c r="BN35" i="50"/>
  <c r="BR35" i="50"/>
  <c r="AI35" i="50"/>
  <c r="AR35" i="50"/>
  <c r="BA35" i="50"/>
  <c r="BJ35" i="50"/>
  <c r="BS35" i="50"/>
  <c r="AD35" i="50"/>
  <c r="AM35" i="50"/>
  <c r="AW35" i="50"/>
  <c r="BF35" i="50"/>
  <c r="BO35" i="50"/>
  <c r="AF35" i="50"/>
  <c r="AY35" i="50"/>
  <c r="BQ35" i="50"/>
  <c r="AA35" i="50"/>
  <c r="AT35" i="50"/>
  <c r="BM35" i="50"/>
  <c r="BH35" i="50"/>
  <c r="BC35" i="50"/>
  <c r="AP35" i="50"/>
  <c r="AK35" i="50"/>
  <c r="V36" i="50"/>
  <c r="T36" i="50"/>
  <c r="X36" i="50"/>
  <c r="Y36" i="50"/>
  <c r="U36" i="50"/>
  <c r="S36" i="50"/>
  <c r="U103" i="10"/>
  <c r="Y103" i="10"/>
  <c r="AD103" i="10"/>
  <c r="AI103" i="10"/>
  <c r="AM103" i="10"/>
  <c r="AR103" i="10"/>
  <c r="AV103" i="10"/>
  <c r="BA103" i="10"/>
  <c r="BE103" i="10"/>
  <c r="X103" i="10"/>
  <c r="AL103" i="10"/>
  <c r="AZ103" i="10"/>
  <c r="V103" i="10"/>
  <c r="AA103" i="10"/>
  <c r="AE103" i="10"/>
  <c r="AJ103" i="10"/>
  <c r="AN103" i="10"/>
  <c r="AS103" i="10"/>
  <c r="AW103" i="10"/>
  <c r="BB103" i="10"/>
  <c r="T103" i="10"/>
  <c r="AG103" i="10"/>
  <c r="AU103" i="10"/>
  <c r="S103" i="10"/>
  <c r="W103" i="10"/>
  <c r="AB103" i="10"/>
  <c r="AF103" i="10"/>
  <c r="AK103" i="10"/>
  <c r="AO103" i="10"/>
  <c r="AT103" i="10"/>
  <c r="AY103" i="10"/>
  <c r="BC103" i="10"/>
  <c r="AC103" i="10"/>
  <c r="AQ103" i="10"/>
  <c r="BD103" i="10"/>
  <c r="AA38" i="50"/>
  <c r="AJ38" i="50"/>
  <c r="AO38" i="50"/>
  <c r="AS38" i="50"/>
  <c r="AX38" i="50"/>
  <c r="BB38" i="50"/>
  <c r="BG38" i="50"/>
  <c r="BK38" i="50"/>
  <c r="BP38" i="50"/>
  <c r="AC38" i="50"/>
  <c r="AH38" i="50"/>
  <c r="AQ38" i="50"/>
  <c r="AU38" i="50"/>
  <c r="AZ38" i="50"/>
  <c r="BE38" i="50"/>
  <c r="BI38" i="50"/>
  <c r="BN38" i="50"/>
  <c r="BR38" i="50"/>
  <c r="AI38" i="50"/>
  <c r="AR38" i="50"/>
  <c r="BA38" i="50"/>
  <c r="BJ38" i="50"/>
  <c r="BS38" i="50"/>
  <c r="AD38" i="50"/>
  <c r="AM38" i="50"/>
  <c r="AW38" i="50"/>
  <c r="BF38" i="50"/>
  <c r="BO38" i="50"/>
  <c r="AF38" i="50"/>
  <c r="AY38" i="50"/>
  <c r="BQ38" i="50"/>
  <c r="AB38" i="50"/>
  <c r="AT38" i="50"/>
  <c r="BM38" i="50"/>
  <c r="AP38" i="50"/>
  <c r="AK38" i="50"/>
  <c r="BC38" i="50"/>
  <c r="BH38" i="50"/>
  <c r="T33" i="50"/>
  <c r="Y33" i="50"/>
  <c r="W33" i="50"/>
  <c r="X33" i="50"/>
  <c r="S33" i="50"/>
  <c r="U33" i="50"/>
  <c r="S109" i="10"/>
  <c r="W109" i="10"/>
  <c r="AB109" i="10"/>
  <c r="AF109" i="10"/>
  <c r="AK109" i="10"/>
  <c r="AO109" i="10"/>
  <c r="AT109" i="10"/>
  <c r="AY109" i="10"/>
  <c r="BC109" i="10"/>
  <c r="AE109" i="10"/>
  <c r="AW109" i="10"/>
  <c r="T109" i="10"/>
  <c r="X109" i="10"/>
  <c r="AC109" i="10"/>
  <c r="AG109" i="10"/>
  <c r="AL109" i="10"/>
  <c r="AQ109" i="10"/>
  <c r="AU109" i="10"/>
  <c r="AZ109" i="10"/>
  <c r="BD109" i="10"/>
  <c r="AA109" i="10"/>
  <c r="AN109" i="10"/>
  <c r="BB109" i="10"/>
  <c r="U109" i="10"/>
  <c r="Y109" i="10"/>
  <c r="AD109" i="10"/>
  <c r="AI109" i="10"/>
  <c r="AM109" i="10"/>
  <c r="AR109" i="10"/>
  <c r="AV109" i="10"/>
  <c r="BA109" i="10"/>
  <c r="BE109" i="10"/>
  <c r="V109" i="10"/>
  <c r="AJ109" i="10"/>
  <c r="AS109" i="10"/>
  <c r="AA39" i="50"/>
  <c r="AO39" i="50"/>
  <c r="AS39" i="50"/>
  <c r="AX39" i="50"/>
  <c r="BB39" i="50"/>
  <c r="BG39" i="50"/>
  <c r="BM39" i="50"/>
  <c r="BQ39" i="50"/>
  <c r="AH39" i="50"/>
  <c r="AQ39" i="50"/>
  <c r="AU39" i="50"/>
  <c r="BE39" i="50"/>
  <c r="BJ39" i="50"/>
  <c r="BO39" i="50"/>
  <c r="BS39" i="50"/>
  <c r="AI39" i="50"/>
  <c r="BA39" i="50"/>
  <c r="BK39" i="50"/>
  <c r="AD39" i="50"/>
  <c r="AM39" i="50"/>
  <c r="AW39" i="50"/>
  <c r="BF39" i="50"/>
  <c r="BP39" i="50"/>
  <c r="AF39" i="50"/>
  <c r="AY39" i="50"/>
  <c r="BR39" i="50"/>
  <c r="AB39" i="50"/>
  <c r="AT39" i="50"/>
  <c r="BN39" i="50"/>
  <c r="BI39" i="50"/>
  <c r="BC39" i="50"/>
  <c r="AP39" i="50"/>
  <c r="AK39" i="50"/>
  <c r="S40" i="50"/>
  <c r="W40" i="50"/>
  <c r="U40" i="50"/>
  <c r="Y40" i="50"/>
  <c r="T40" i="50"/>
  <c r="X40" i="50"/>
  <c r="S42" i="10"/>
  <c r="W42" i="10"/>
  <c r="AB42" i="10"/>
  <c r="AF42" i="10"/>
  <c r="AK42" i="10"/>
  <c r="AO42" i="10"/>
  <c r="AY42" i="10"/>
  <c r="BC42" i="10"/>
  <c r="T42" i="10"/>
  <c r="X42" i="10"/>
  <c r="AC42" i="10"/>
  <c r="AG42" i="10"/>
  <c r="AQ42" i="10"/>
  <c r="AU42" i="10"/>
  <c r="AZ42" i="10"/>
  <c r="BD42" i="10"/>
  <c r="U42" i="10"/>
  <c r="Y42" i="10"/>
  <c r="AI42" i="10"/>
  <c r="AM42" i="10"/>
  <c r="AR42" i="10"/>
  <c r="AV42" i="10"/>
  <c r="BA42" i="10"/>
  <c r="BE42" i="10"/>
  <c r="AJ42" i="10"/>
  <c r="AN42" i="10"/>
  <c r="AW42" i="10"/>
  <c r="AA42" i="10"/>
  <c r="AS42" i="10"/>
  <c r="AE42" i="10"/>
  <c r="T43" i="10"/>
  <c r="X43" i="10"/>
  <c r="AC43" i="10"/>
  <c r="AG43" i="10"/>
  <c r="AL43" i="10"/>
  <c r="AQ43" i="10"/>
  <c r="AU43" i="10"/>
  <c r="AZ43" i="10"/>
  <c r="BD43" i="10"/>
  <c r="U43" i="10"/>
  <c r="Y43" i="10"/>
  <c r="AD43" i="10"/>
  <c r="AI43" i="10"/>
  <c r="AM43" i="10"/>
  <c r="AR43" i="10"/>
  <c r="AV43" i="10"/>
  <c r="BA43" i="10"/>
  <c r="BE43" i="10"/>
  <c r="V43" i="10"/>
  <c r="AA43" i="10"/>
  <c r="AE43" i="10"/>
  <c r="AJ43" i="10"/>
  <c r="AN43" i="10"/>
  <c r="AS43" i="10"/>
  <c r="AW43" i="10"/>
  <c r="BB43" i="10"/>
  <c r="S43" i="10"/>
  <c r="AK43" i="10"/>
  <c r="BC43" i="10"/>
  <c r="W43" i="10"/>
  <c r="AO43" i="10"/>
  <c r="AY43" i="10"/>
  <c r="AB43" i="10"/>
  <c r="AT43" i="10"/>
  <c r="AF43" i="10"/>
  <c r="AA44" i="50"/>
  <c r="AJ44" i="50"/>
  <c r="AO44" i="50"/>
  <c r="AS44" i="50"/>
  <c r="AX44" i="50"/>
  <c r="BB44" i="50"/>
  <c r="BG44" i="50"/>
  <c r="BK44" i="50"/>
  <c r="BP44" i="50"/>
  <c r="AH44" i="50"/>
  <c r="AQ44" i="50"/>
  <c r="AU44" i="50"/>
  <c r="AZ44" i="50"/>
  <c r="BE44" i="50"/>
  <c r="BI44" i="50"/>
  <c r="BN44" i="50"/>
  <c r="BR44" i="50"/>
  <c r="AD44" i="50"/>
  <c r="AM44" i="50"/>
  <c r="AW44" i="50"/>
  <c r="BF44" i="50"/>
  <c r="BO44" i="50"/>
  <c r="AI44" i="50"/>
  <c r="BA44" i="50"/>
  <c r="BJ44" i="50"/>
  <c r="BS44" i="50"/>
  <c r="AK44" i="50"/>
  <c r="BC44" i="50"/>
  <c r="AF44" i="50"/>
  <c r="AY44" i="50"/>
  <c r="BQ44" i="50"/>
  <c r="AT44" i="50"/>
  <c r="AP44" i="50"/>
  <c r="BM44" i="50"/>
  <c r="AB44" i="50"/>
  <c r="T45" i="50"/>
  <c r="X45" i="50"/>
  <c r="U45" i="50"/>
  <c r="Y45" i="50"/>
  <c r="S45" i="50"/>
  <c r="W45" i="50"/>
  <c r="V85" i="10"/>
  <c r="AA85" i="10"/>
  <c r="AE85" i="10"/>
  <c r="AJ85" i="10"/>
  <c r="AN85" i="10"/>
  <c r="AS85" i="10"/>
  <c r="AW85" i="10"/>
  <c r="BB85" i="10"/>
  <c r="S85" i="10"/>
  <c r="W85" i="10"/>
  <c r="AB85" i="10"/>
  <c r="AF85" i="10"/>
  <c r="AK85" i="10"/>
  <c r="AO85" i="10"/>
  <c r="AT85" i="10"/>
  <c r="AY85" i="10"/>
  <c r="BC85" i="10"/>
  <c r="T85" i="10"/>
  <c r="X85" i="10"/>
  <c r="AC85" i="10"/>
  <c r="AG85" i="10"/>
  <c r="AL85" i="10"/>
  <c r="AQ85" i="10"/>
  <c r="AU85" i="10"/>
  <c r="AZ85" i="10"/>
  <c r="BD85" i="10"/>
  <c r="Y85" i="10"/>
  <c r="AR85" i="10"/>
  <c r="U85" i="10"/>
  <c r="AD85" i="10"/>
  <c r="AV85" i="10"/>
  <c r="BE85" i="10"/>
  <c r="AI85" i="10"/>
  <c r="BA85" i="10"/>
  <c r="AM85" i="10"/>
  <c r="AB86" i="50"/>
  <c r="AF86" i="50"/>
  <c r="AK86" i="50"/>
  <c r="AP86" i="50"/>
  <c r="AT86" i="50"/>
  <c r="AY86" i="50"/>
  <c r="BH86" i="50"/>
  <c r="BM86" i="50"/>
  <c r="BQ86" i="50"/>
  <c r="AD86" i="50"/>
  <c r="AI86" i="50"/>
  <c r="AM86" i="50"/>
  <c r="AR86" i="50"/>
  <c r="AW86" i="50"/>
  <c r="BA86" i="50"/>
  <c r="BF86" i="50"/>
  <c r="BJ86" i="50"/>
  <c r="BO86" i="50"/>
  <c r="AO86" i="50"/>
  <c r="AX86" i="50"/>
  <c r="BG86" i="50"/>
  <c r="BP86" i="50"/>
  <c r="AC86" i="50"/>
  <c r="BE86" i="50"/>
  <c r="BN86" i="50"/>
  <c r="AA86" i="50"/>
  <c r="AS86" i="50"/>
  <c r="AH86" i="50"/>
  <c r="AZ86" i="50"/>
  <c r="BR86" i="50"/>
  <c r="AJ86" i="50"/>
  <c r="BB86" i="50"/>
  <c r="AQ86" i="50"/>
  <c r="BI86" i="50"/>
  <c r="S87" i="50"/>
  <c r="W87" i="50"/>
  <c r="U87" i="50"/>
  <c r="Y87" i="50"/>
  <c r="V87" i="50"/>
  <c r="T87" i="50"/>
  <c r="X87" i="50"/>
  <c r="V89" i="10"/>
  <c r="AA89" i="10"/>
  <c r="AE89" i="10"/>
  <c r="AJ89" i="10"/>
  <c r="AN89" i="10"/>
  <c r="AS89" i="10"/>
  <c r="AW89" i="10"/>
  <c r="BB89" i="10"/>
  <c r="S89" i="10"/>
  <c r="W89" i="10"/>
  <c r="AB89" i="10"/>
  <c r="AF89" i="10"/>
  <c r="AK89" i="10"/>
  <c r="AO89" i="10"/>
  <c r="AT89" i="10"/>
  <c r="AY89" i="10"/>
  <c r="BC89" i="10"/>
  <c r="T89" i="10"/>
  <c r="X89" i="10"/>
  <c r="AC89" i="10"/>
  <c r="AG89" i="10"/>
  <c r="AL89" i="10"/>
  <c r="AQ89" i="10"/>
  <c r="AU89" i="10"/>
  <c r="AZ89" i="10"/>
  <c r="BD89" i="10"/>
  <c r="AD89" i="10"/>
  <c r="AV89" i="10"/>
  <c r="AR89" i="10"/>
  <c r="AI89" i="10"/>
  <c r="BA89" i="10"/>
  <c r="U89" i="10"/>
  <c r="AM89" i="10"/>
  <c r="BE89" i="10"/>
  <c r="Y89" i="10"/>
  <c r="AF92" i="50"/>
  <c r="AK92" i="50"/>
  <c r="AP92" i="50"/>
  <c r="AT92" i="50"/>
  <c r="BC92" i="50"/>
  <c r="BH92" i="50"/>
  <c r="BM92" i="50"/>
  <c r="BQ92" i="50"/>
  <c r="AD92" i="50"/>
  <c r="AM92" i="50"/>
  <c r="AR92" i="50"/>
  <c r="AW92" i="50"/>
  <c r="BA92" i="50"/>
  <c r="BF92" i="50"/>
  <c r="BJ92" i="50"/>
  <c r="BS92" i="50"/>
  <c r="AC92" i="50"/>
  <c r="AH92" i="50"/>
  <c r="AZ92" i="50"/>
  <c r="BI92" i="50"/>
  <c r="BR92" i="50"/>
  <c r="AA92" i="50"/>
  <c r="AU92" i="50"/>
  <c r="BE92" i="50"/>
  <c r="BN92" i="50"/>
  <c r="AS92" i="50"/>
  <c r="BK92" i="50"/>
  <c r="AX92" i="50"/>
  <c r="BP92" i="50"/>
  <c r="AJ92" i="50"/>
  <c r="BB92" i="50"/>
  <c r="AO92" i="50"/>
  <c r="S102" i="50"/>
  <c r="W102" i="50"/>
  <c r="U102" i="50"/>
  <c r="Y102" i="50"/>
  <c r="X102" i="50"/>
  <c r="T102" i="50"/>
  <c r="V102" i="50"/>
  <c r="V97" i="10"/>
  <c r="AA97" i="10"/>
  <c r="AE97" i="10"/>
  <c r="AJ97" i="10"/>
  <c r="AN97" i="10"/>
  <c r="AS97" i="10"/>
  <c r="AW97" i="10"/>
  <c r="BB97" i="10"/>
  <c r="S97" i="10"/>
  <c r="W97" i="10"/>
  <c r="AB97" i="10"/>
  <c r="AF97" i="10"/>
  <c r="AK97" i="10"/>
  <c r="AO97" i="10"/>
  <c r="AT97" i="10"/>
  <c r="AY97" i="10"/>
  <c r="BC97" i="10"/>
  <c r="T97" i="10"/>
  <c r="X97" i="10"/>
  <c r="AC97" i="10"/>
  <c r="AG97" i="10"/>
  <c r="AL97" i="10"/>
  <c r="AQ97" i="10"/>
  <c r="AU97" i="10"/>
  <c r="AZ97" i="10"/>
  <c r="BD97" i="10"/>
  <c r="AI97" i="10"/>
  <c r="BA97" i="10"/>
  <c r="U97" i="10"/>
  <c r="AM97" i="10"/>
  <c r="BE97" i="10"/>
  <c r="AV97" i="10"/>
  <c r="Y97" i="10"/>
  <c r="AR97" i="10"/>
  <c r="AD97" i="10"/>
  <c r="AC54" i="50"/>
  <c r="AH54" i="50"/>
  <c r="AQ54" i="50"/>
  <c r="AU54" i="50"/>
  <c r="AZ54" i="50"/>
  <c r="BE54" i="50"/>
  <c r="BJ54" i="50"/>
  <c r="BO54" i="50"/>
  <c r="BS54" i="50"/>
  <c r="AJ54" i="50"/>
  <c r="AO54" i="50"/>
  <c r="AS54" i="50"/>
  <c r="AX54" i="50"/>
  <c r="BB54" i="50"/>
  <c r="BH54" i="50"/>
  <c r="BM54" i="50"/>
  <c r="BQ54" i="50"/>
  <c r="AF54" i="50"/>
  <c r="AY54" i="50"/>
  <c r="BI54" i="50"/>
  <c r="BR54" i="50"/>
  <c r="AB54" i="50"/>
  <c r="AK54" i="50"/>
  <c r="AT54" i="50"/>
  <c r="BC54" i="50"/>
  <c r="BN54" i="50"/>
  <c r="AM54" i="50"/>
  <c r="BG54" i="50"/>
  <c r="AI54" i="50"/>
  <c r="BA54" i="50"/>
  <c r="AW54" i="50"/>
  <c r="AR54" i="50"/>
  <c r="AD54" i="50"/>
  <c r="BK54" i="50"/>
  <c r="BP54" i="50"/>
  <c r="Y55" i="50"/>
  <c r="S55" i="50"/>
  <c r="W55" i="50"/>
  <c r="X55" i="50"/>
  <c r="T55" i="50"/>
  <c r="V55" i="50"/>
  <c r="T47" i="10"/>
  <c r="X47" i="10"/>
  <c r="AC47" i="10"/>
  <c r="AG47" i="10"/>
  <c r="AQ47" i="10"/>
  <c r="AU47" i="10"/>
  <c r="AZ47" i="10"/>
  <c r="BD47" i="10"/>
  <c r="U47" i="10"/>
  <c r="Y47" i="10"/>
  <c r="AI47" i="10"/>
  <c r="AM47" i="10"/>
  <c r="AR47" i="10"/>
  <c r="AV47" i="10"/>
  <c r="BA47" i="10"/>
  <c r="BE47" i="10"/>
  <c r="AA47" i="10"/>
  <c r="AE47" i="10"/>
  <c r="AJ47" i="10"/>
  <c r="AN47" i="10"/>
  <c r="AS47" i="10"/>
  <c r="AW47" i="10"/>
  <c r="W47" i="10"/>
  <c r="AO47" i="10"/>
  <c r="S47" i="10"/>
  <c r="AB47" i="10"/>
  <c r="BC47" i="10"/>
  <c r="AF47" i="10"/>
  <c r="AY47" i="10"/>
  <c r="AK47" i="10"/>
  <c r="AJ95" i="50"/>
  <c r="AO95" i="50"/>
  <c r="AS95" i="50"/>
  <c r="BB95" i="50"/>
  <c r="BG95" i="50"/>
  <c r="BK95" i="50"/>
  <c r="BP95" i="50"/>
  <c r="AC95" i="50"/>
  <c r="AQ95" i="50"/>
  <c r="AU95" i="50"/>
  <c r="AZ95" i="50"/>
  <c r="BE95" i="50"/>
  <c r="BI95" i="50"/>
  <c r="BR95" i="50"/>
  <c r="AF95" i="50"/>
  <c r="AY95" i="50"/>
  <c r="BH95" i="50"/>
  <c r="BQ95" i="50"/>
  <c r="AB95" i="50"/>
  <c r="AK95" i="50"/>
  <c r="AT95" i="50"/>
  <c r="BC95" i="50"/>
  <c r="BM95" i="50"/>
  <c r="AR95" i="50"/>
  <c r="BJ95" i="50"/>
  <c r="AD95" i="50"/>
  <c r="AW95" i="50"/>
  <c r="BO95" i="50"/>
  <c r="AI95" i="50"/>
  <c r="BA95" i="50"/>
  <c r="BS95" i="50"/>
  <c r="AM95" i="50"/>
  <c r="W93" i="50"/>
  <c r="U93" i="50"/>
  <c r="Y93" i="50"/>
  <c r="X93" i="50"/>
  <c r="T93" i="50"/>
  <c r="V93" i="50"/>
  <c r="T68" i="10"/>
  <c r="AC68" i="10"/>
  <c r="AG68" i="10"/>
  <c r="AL68" i="10"/>
  <c r="AQ68" i="10"/>
  <c r="AU68" i="10"/>
  <c r="AZ68" i="10"/>
  <c r="U68" i="10"/>
  <c r="Y68" i="10"/>
  <c r="AD68" i="10"/>
  <c r="AI68" i="10"/>
  <c r="AM68" i="10"/>
  <c r="AR68" i="10"/>
  <c r="BA68" i="10"/>
  <c r="BE68" i="10"/>
  <c r="V68" i="10"/>
  <c r="AA68" i="10"/>
  <c r="AE68" i="10"/>
  <c r="AJ68" i="10"/>
  <c r="AS68" i="10"/>
  <c r="AW68" i="10"/>
  <c r="BB68" i="10"/>
  <c r="W68" i="10"/>
  <c r="AO68" i="10"/>
  <c r="AK68" i="10"/>
  <c r="AB68" i="10"/>
  <c r="AT68" i="10"/>
  <c r="BC68" i="10"/>
  <c r="AY68" i="10"/>
  <c r="S68" i="10"/>
  <c r="AA69" i="50"/>
  <c r="AJ69" i="50"/>
  <c r="AO69" i="50"/>
  <c r="AS69" i="50"/>
  <c r="AX69" i="50"/>
  <c r="BB69" i="50"/>
  <c r="BG69" i="50"/>
  <c r="BK69" i="50"/>
  <c r="BP69" i="50"/>
  <c r="AC69" i="50"/>
  <c r="AH69" i="50"/>
  <c r="AQ69" i="50"/>
  <c r="AU69" i="50"/>
  <c r="AZ69" i="50"/>
  <c r="BE69" i="50"/>
  <c r="BI69" i="50"/>
  <c r="BN69" i="50"/>
  <c r="BR69" i="50"/>
  <c r="AD69" i="50"/>
  <c r="AM69" i="50"/>
  <c r="AW69" i="50"/>
  <c r="BF69" i="50"/>
  <c r="BO69" i="50"/>
  <c r="AB69" i="50"/>
  <c r="AK69" i="50"/>
  <c r="BC69" i="50"/>
  <c r="BM69" i="50"/>
  <c r="AR69" i="50"/>
  <c r="AF69" i="50"/>
  <c r="AY69" i="50"/>
  <c r="BQ69" i="50"/>
  <c r="AI69" i="50"/>
  <c r="BA69" i="50"/>
  <c r="BS69" i="50"/>
  <c r="AP69" i="50"/>
  <c r="BH69" i="50"/>
  <c r="V70" i="50"/>
  <c r="T70" i="50"/>
  <c r="U70" i="50"/>
  <c r="S70" i="50"/>
  <c r="Y70" i="50"/>
  <c r="W70" i="50"/>
  <c r="U73" i="10"/>
  <c r="Y73" i="10"/>
  <c r="AD73" i="10"/>
  <c r="AI73" i="10"/>
  <c r="AM73" i="10"/>
  <c r="AR73" i="10"/>
  <c r="BA73" i="10"/>
  <c r="BE73" i="10"/>
  <c r="V73" i="10"/>
  <c r="AA73" i="10"/>
  <c r="AE73" i="10"/>
  <c r="AJ73" i="10"/>
  <c r="AS73" i="10"/>
  <c r="AW73" i="10"/>
  <c r="BB73" i="10"/>
  <c r="S73" i="10"/>
  <c r="W73" i="10"/>
  <c r="AB73" i="10"/>
  <c r="AK73" i="10"/>
  <c r="AO73" i="10"/>
  <c r="AT73" i="10"/>
  <c r="AY73" i="10"/>
  <c r="BC73" i="10"/>
  <c r="AC73" i="10"/>
  <c r="AU73" i="10"/>
  <c r="AG73" i="10"/>
  <c r="AZ73" i="10"/>
  <c r="AQ73" i="10"/>
  <c r="T73" i="10"/>
  <c r="AL73" i="10"/>
  <c r="AA72" i="50"/>
  <c r="AJ72" i="50"/>
  <c r="AO72" i="50"/>
  <c r="AS72" i="50"/>
  <c r="AX72" i="50"/>
  <c r="BB72" i="50"/>
  <c r="BG72" i="50"/>
  <c r="BK72" i="50"/>
  <c r="BP72" i="50"/>
  <c r="AH72" i="50"/>
  <c r="AQ72" i="50"/>
  <c r="AU72" i="50"/>
  <c r="AZ72" i="50"/>
  <c r="BE72" i="50"/>
  <c r="BI72" i="50"/>
  <c r="BN72" i="50"/>
  <c r="BR72" i="50"/>
  <c r="AD72" i="50"/>
  <c r="AM72" i="50"/>
  <c r="AW72" i="50"/>
  <c r="BF72" i="50"/>
  <c r="BO72" i="50"/>
  <c r="AB72" i="50"/>
  <c r="AK72" i="50"/>
  <c r="BC72" i="50"/>
  <c r="BM72" i="50"/>
  <c r="AR72" i="50"/>
  <c r="AF72" i="50"/>
  <c r="AY72" i="50"/>
  <c r="BQ72" i="50"/>
  <c r="AI72" i="50"/>
  <c r="BA72" i="50"/>
  <c r="BS72" i="50"/>
  <c r="AP72" i="50"/>
  <c r="BH72" i="50"/>
  <c r="T48" i="50"/>
  <c r="X48" i="50"/>
  <c r="W48" i="50"/>
  <c r="S48" i="50"/>
  <c r="U48" i="50"/>
  <c r="Y48" i="50"/>
  <c r="S50" i="10"/>
  <c r="W50" i="10"/>
  <c r="AB50" i="10"/>
  <c r="AF50" i="10"/>
  <c r="AK50" i="10"/>
  <c r="AO50" i="10"/>
  <c r="AY50" i="10"/>
  <c r="BC50" i="10"/>
  <c r="T50" i="10"/>
  <c r="X50" i="10"/>
  <c r="AC50" i="10"/>
  <c r="AG50" i="10"/>
  <c r="AQ50" i="10"/>
  <c r="AU50" i="10"/>
  <c r="AZ50" i="10"/>
  <c r="BD50" i="10"/>
  <c r="U50" i="10"/>
  <c r="Y50" i="10"/>
  <c r="AI50" i="10"/>
  <c r="AM50" i="10"/>
  <c r="AR50" i="10"/>
  <c r="AV50" i="10"/>
  <c r="BA50" i="10"/>
  <c r="BE50" i="10"/>
  <c r="AA50" i="10"/>
  <c r="AS50" i="10"/>
  <c r="AE50" i="10"/>
  <c r="AW50" i="10"/>
  <c r="AN50" i="10"/>
  <c r="AJ50" i="10"/>
  <c r="AH51" i="50"/>
  <c r="AQ51" i="50"/>
  <c r="AU51" i="50"/>
  <c r="BE51" i="50"/>
  <c r="BI51" i="50"/>
  <c r="BN51" i="50"/>
  <c r="BR51" i="50"/>
  <c r="AA51" i="50"/>
  <c r="AO51" i="50"/>
  <c r="AS51" i="50"/>
  <c r="AX51" i="50"/>
  <c r="BB51" i="50"/>
  <c r="BG51" i="50"/>
  <c r="BK51" i="50"/>
  <c r="BP51" i="50"/>
  <c r="AF51" i="50"/>
  <c r="AP51" i="50"/>
  <c r="AY51" i="50"/>
  <c r="BQ51" i="50"/>
  <c r="AB51" i="50"/>
  <c r="AK51" i="50"/>
  <c r="AT51" i="50"/>
  <c r="BC51" i="50"/>
  <c r="BM51" i="50"/>
  <c r="AM51" i="50"/>
  <c r="BF51" i="50"/>
  <c r="AI51" i="50"/>
  <c r="BA51" i="50"/>
  <c r="BS51" i="50"/>
  <c r="AD51" i="50"/>
  <c r="BO51" i="50"/>
  <c r="BJ51" i="50"/>
  <c r="AW51" i="50"/>
  <c r="S105" i="50"/>
  <c r="W105" i="50"/>
  <c r="U105" i="50"/>
  <c r="X105" i="50"/>
  <c r="T105" i="50"/>
  <c r="V105" i="50"/>
  <c r="U107" i="10"/>
  <c r="Y107" i="10"/>
  <c r="AD107" i="10"/>
  <c r="AI107" i="10"/>
  <c r="AM107" i="10"/>
  <c r="AR107" i="10"/>
  <c r="AV107" i="10"/>
  <c r="BA107" i="10"/>
  <c r="BE107" i="10"/>
  <c r="X107" i="10"/>
  <c r="AL107" i="10"/>
  <c r="AZ107" i="10"/>
  <c r="V107" i="10"/>
  <c r="AA107" i="10"/>
  <c r="AE107" i="10"/>
  <c r="AJ107" i="10"/>
  <c r="AN107" i="10"/>
  <c r="AS107" i="10"/>
  <c r="AW107" i="10"/>
  <c r="BB107" i="10"/>
  <c r="T107" i="10"/>
  <c r="AG107" i="10"/>
  <c r="AU107" i="10"/>
  <c r="S107" i="10"/>
  <c r="W107" i="10"/>
  <c r="AB107" i="10"/>
  <c r="AF107" i="10"/>
  <c r="AK107" i="10"/>
  <c r="AO107" i="10"/>
  <c r="AT107" i="10"/>
  <c r="AY107" i="10"/>
  <c r="BC107" i="10"/>
  <c r="AC107" i="10"/>
  <c r="AQ107" i="10"/>
  <c r="BD107" i="10"/>
  <c r="AB91" i="50"/>
  <c r="AF91" i="50"/>
  <c r="AK91" i="50"/>
  <c r="AP91" i="50"/>
  <c r="AT91" i="50"/>
  <c r="AY91" i="50"/>
  <c r="BC91" i="50"/>
  <c r="BH91" i="50"/>
  <c r="BM91" i="50"/>
  <c r="BQ91" i="50"/>
  <c r="AD91" i="50"/>
  <c r="AI91" i="50"/>
  <c r="AM91" i="50"/>
  <c r="AR91" i="50"/>
  <c r="AW91" i="50"/>
  <c r="BA91" i="50"/>
  <c r="BF91" i="50"/>
  <c r="BJ91" i="50"/>
  <c r="BO91" i="50"/>
  <c r="BS91" i="50"/>
  <c r="AC91" i="50"/>
  <c r="AU91" i="50"/>
  <c r="BE91" i="50"/>
  <c r="BN91" i="50"/>
  <c r="AA91" i="50"/>
  <c r="AO91" i="50"/>
  <c r="AZ91" i="50"/>
  <c r="BK91" i="50"/>
  <c r="AQ91" i="50"/>
  <c r="AH91" i="50"/>
  <c r="AS91" i="50"/>
  <c r="BG91" i="50"/>
  <c r="BR91" i="50"/>
  <c r="BB91" i="50"/>
  <c r="BI91" i="50"/>
  <c r="AJ91" i="50"/>
  <c r="BP91" i="50"/>
  <c r="AX91" i="50"/>
  <c r="W108" i="50"/>
  <c r="U108" i="50"/>
  <c r="Y108" i="50"/>
  <c r="X108" i="50"/>
  <c r="T108" i="50"/>
  <c r="V108" i="50"/>
  <c r="V124" i="10"/>
  <c r="AE124" i="10"/>
  <c r="AJ124" i="10"/>
  <c r="AN124" i="10"/>
  <c r="AS124" i="10"/>
  <c r="AW124" i="10"/>
  <c r="BB124" i="10"/>
  <c r="Y124" i="10"/>
  <c r="AR124" i="10"/>
  <c r="W124" i="10"/>
  <c r="AB124" i="10"/>
  <c r="AF124" i="10"/>
  <c r="AK124" i="10"/>
  <c r="AO124" i="10"/>
  <c r="AT124" i="10"/>
  <c r="BC124" i="10"/>
  <c r="U124" i="10"/>
  <c r="AV124" i="10"/>
  <c r="BE124" i="10"/>
  <c r="T124" i="10"/>
  <c r="X124" i="10"/>
  <c r="AC124" i="10"/>
  <c r="AG124" i="10"/>
  <c r="AL124" i="10"/>
  <c r="AU124" i="10"/>
  <c r="AZ124" i="10"/>
  <c r="BD124" i="10"/>
  <c r="AD124" i="10"/>
  <c r="AM124" i="10"/>
  <c r="BA124" i="10"/>
  <c r="W125" i="10"/>
  <c r="AB125" i="10"/>
  <c r="AF125" i="10"/>
  <c r="AK125" i="10"/>
  <c r="AO125" i="10"/>
  <c r="AT125" i="10"/>
  <c r="BC125" i="10"/>
  <c r="V125" i="10"/>
  <c r="AJ125" i="10"/>
  <c r="AS125" i="10"/>
  <c r="T125" i="10"/>
  <c r="X125" i="10"/>
  <c r="AC125" i="10"/>
  <c r="AG125" i="10"/>
  <c r="AL125" i="10"/>
  <c r="AU125" i="10"/>
  <c r="AZ125" i="10"/>
  <c r="BD125" i="10"/>
  <c r="AN125" i="10"/>
  <c r="BB125" i="10"/>
  <c r="U125" i="10"/>
  <c r="Y125" i="10"/>
  <c r="AD125" i="10"/>
  <c r="AM125" i="10"/>
  <c r="AR125" i="10"/>
  <c r="AV125" i="10"/>
  <c r="BA125" i="10"/>
  <c r="BE125" i="10"/>
  <c r="AE125" i="10"/>
  <c r="AW125" i="10"/>
  <c r="T126" i="10"/>
  <c r="X126" i="10"/>
  <c r="AC126" i="10"/>
  <c r="AG126" i="10"/>
  <c r="AL126" i="10"/>
  <c r="AU126" i="10"/>
  <c r="AZ126" i="10"/>
  <c r="BD126" i="10"/>
  <c r="U126" i="10"/>
  <c r="AD126" i="10"/>
  <c r="AM126" i="10"/>
  <c r="AV126" i="10"/>
  <c r="BE126" i="10"/>
  <c r="W126" i="10"/>
  <c r="AF126" i="10"/>
  <c r="AT126" i="10"/>
  <c r="Y126" i="10"/>
  <c r="AR126" i="10"/>
  <c r="BA126" i="10"/>
  <c r="AB126" i="10"/>
  <c r="AO126" i="10"/>
  <c r="V126" i="10"/>
  <c r="AE126" i="10"/>
  <c r="AJ126" i="10"/>
  <c r="AN126" i="10"/>
  <c r="AS126" i="10"/>
  <c r="AW126" i="10"/>
  <c r="BB126" i="10"/>
  <c r="AK126" i="10"/>
  <c r="BC126" i="10"/>
  <c r="W121" i="10"/>
  <c r="AB121" i="10"/>
  <c r="AF121" i="10"/>
  <c r="AK121" i="10"/>
  <c r="AO121" i="10"/>
  <c r="AT121" i="10"/>
  <c r="BC121" i="10"/>
  <c r="AE121" i="10"/>
  <c r="AS121" i="10"/>
  <c r="T121" i="10"/>
  <c r="X121" i="10"/>
  <c r="AC121" i="10"/>
  <c r="AG121" i="10"/>
  <c r="AL121" i="10"/>
  <c r="AU121" i="10"/>
  <c r="AZ121" i="10"/>
  <c r="BD121" i="10"/>
  <c r="AN121" i="10"/>
  <c r="BB121" i="10"/>
  <c r="U121" i="10"/>
  <c r="Y121" i="10"/>
  <c r="AD121" i="10"/>
  <c r="AM121" i="10"/>
  <c r="AR121" i="10"/>
  <c r="AV121" i="10"/>
  <c r="BA121" i="10"/>
  <c r="BE121" i="10"/>
  <c r="V121" i="10"/>
  <c r="AJ121" i="10"/>
  <c r="AW121" i="10"/>
  <c r="T52" i="50"/>
  <c r="X52" i="50"/>
  <c r="V52" i="50"/>
  <c r="W52" i="50"/>
  <c r="S52" i="50"/>
  <c r="U52" i="50"/>
  <c r="Y52" i="50"/>
  <c r="BG127" i="50"/>
  <c r="BP127" i="50"/>
  <c r="AS127" i="50"/>
  <c r="AU127" i="50"/>
  <c r="BI127" i="50"/>
  <c r="BS127" i="50"/>
  <c r="BA127" i="50"/>
  <c r="AI127" i="50"/>
  <c r="BH127" i="50"/>
  <c r="AP127" i="50"/>
  <c r="Y127" i="50"/>
  <c r="Y52" i="51"/>
  <c r="H53" i="51"/>
  <c r="AE53" i="50" s="1"/>
  <c r="H53" i="50"/>
  <c r="B21" i="121"/>
  <c r="K53" i="10" s="1"/>
  <c r="N53" i="50"/>
  <c r="H53" i="10"/>
  <c r="J37" i="50"/>
  <c r="J37" i="51"/>
  <c r="BA37" i="50" s="1"/>
  <c r="H37" i="51"/>
  <c r="AS37" i="50" s="1"/>
  <c r="H37" i="50"/>
  <c r="X52" i="51"/>
  <c r="R53" i="10"/>
  <c r="U52" i="51"/>
  <c r="T52" i="51"/>
  <c r="W52" i="51"/>
  <c r="S52" i="51"/>
  <c r="R52" i="50"/>
  <c r="V52" i="51"/>
  <c r="R52" i="51"/>
  <c r="B23" i="121"/>
  <c r="B25" i="121"/>
  <c r="N53" i="10" s="1"/>
  <c r="B18" i="121"/>
  <c r="N34" i="10"/>
  <c r="X34" i="10" s="1"/>
  <c r="R34" i="51"/>
  <c r="W34" i="51"/>
  <c r="S34" i="51"/>
  <c r="X34" i="51"/>
  <c r="T34" i="51"/>
  <c r="V34" i="51"/>
  <c r="Y34" i="51"/>
  <c r="G22" i="120"/>
  <c r="B21" i="120" s="1"/>
  <c r="BD135" i="10" l="1"/>
  <c r="BC135" i="10"/>
  <c r="AK135" i="10"/>
  <c r="AU135" i="10"/>
  <c r="AS135" i="10"/>
  <c r="V135" i="10"/>
  <c r="BA135" i="10"/>
  <c r="AD135" i="10"/>
  <c r="AT135" i="10"/>
  <c r="W135" i="10"/>
  <c r="BB135" i="10"/>
  <c r="U135" i="10"/>
  <c r="AV135" i="10"/>
  <c r="Y135" i="10"/>
  <c r="X135" i="10"/>
  <c r="AW135" i="10"/>
  <c r="BE135" i="10"/>
  <c r="AM135" i="10"/>
  <c r="AL135" i="10"/>
  <c r="AE135" i="10"/>
  <c r="AC135" i="10"/>
  <c r="AN135" i="10"/>
  <c r="AF135" i="10"/>
  <c r="AG135" i="10"/>
  <c r="AO135" i="10"/>
  <c r="AM37" i="50"/>
  <c r="AF37" i="50"/>
  <c r="U34" i="10"/>
  <c r="AU53" i="50"/>
  <c r="B24" i="121"/>
  <c r="J53" i="51"/>
  <c r="AL53" i="50" s="1"/>
  <c r="J53" i="50"/>
  <c r="O53" i="50" s="1"/>
  <c r="J53" i="10"/>
  <c r="O53" i="10" s="1"/>
  <c r="K53" i="51"/>
  <c r="BK53" i="50" s="1"/>
  <c r="K53" i="50"/>
  <c r="K34" i="50"/>
  <c r="K34" i="51"/>
  <c r="R34" i="50"/>
  <c r="U34" i="51"/>
  <c r="R34" i="10"/>
  <c r="K34" i="10"/>
  <c r="AV34" i="10" l="1"/>
  <c r="AS34" i="10"/>
  <c r="BC53" i="50"/>
  <c r="O53" i="51"/>
  <c r="M53" i="51"/>
  <c r="M53" i="50"/>
  <c r="M53" i="10"/>
  <c r="N71" i="51" l="1"/>
  <c r="Q71" i="50"/>
  <c r="Q71" i="51"/>
  <c r="BT71" i="50" s="1"/>
  <c r="Q71" i="10"/>
  <c r="L71" i="10"/>
  <c r="BD71" i="10" s="1"/>
  <c r="J71" i="10"/>
  <c r="AN71" i="10" s="1"/>
  <c r="F71" i="10"/>
  <c r="D71" i="10"/>
  <c r="C71" i="10"/>
  <c r="G11" i="119"/>
  <c r="B17" i="119" s="1"/>
  <c r="BK71" i="10" l="1"/>
  <c r="BR71" i="10"/>
  <c r="BQ71" i="10"/>
  <c r="BS71" i="10"/>
  <c r="BG71" i="10"/>
  <c r="BN71" i="10"/>
  <c r="BP71" i="10"/>
  <c r="BH71" i="10"/>
  <c r="BJ71" i="10"/>
  <c r="BL71" i="10"/>
  <c r="BO71" i="10"/>
  <c r="H71" i="50"/>
  <c r="H71" i="51"/>
  <c r="O71" i="51" s="1"/>
  <c r="X71" i="51"/>
  <c r="H71" i="10"/>
  <c r="AF71" i="10" s="1"/>
  <c r="T71" i="51"/>
  <c r="W71" i="51"/>
  <c r="S71" i="51"/>
  <c r="V71" i="51"/>
  <c r="R71" i="51"/>
  <c r="Y71" i="51"/>
  <c r="U71" i="51"/>
  <c r="K20" i="119"/>
  <c r="I22" i="119"/>
  <c r="I23" i="119" s="1"/>
  <c r="I24" i="119" s="1"/>
  <c r="I25" i="119" s="1"/>
  <c r="K19" i="119"/>
  <c r="BI71" i="10" l="1"/>
  <c r="E42" i="119"/>
  <c r="O46" i="118" l="1"/>
  <c r="P46" i="118"/>
  <c r="O47" i="118"/>
  <c r="P47" i="118"/>
  <c r="O48" i="118"/>
  <c r="P48" i="118"/>
  <c r="O49" i="118"/>
  <c r="P49" i="118"/>
  <c r="O50" i="118"/>
  <c r="P50" i="118"/>
  <c r="O51" i="118"/>
  <c r="P51" i="118"/>
  <c r="O52" i="118"/>
  <c r="P52" i="118"/>
  <c r="O53" i="118"/>
  <c r="P53" i="118"/>
  <c r="O54" i="118"/>
  <c r="P54" i="118"/>
  <c r="O55" i="118"/>
  <c r="P55" i="118"/>
  <c r="O56" i="118"/>
  <c r="P56" i="118"/>
  <c r="O57" i="118"/>
  <c r="P57" i="118"/>
  <c r="O58" i="118"/>
  <c r="P58" i="118"/>
  <c r="O59" i="118"/>
  <c r="P59" i="118"/>
  <c r="O60" i="118"/>
  <c r="P60" i="118"/>
  <c r="O61" i="118"/>
  <c r="P61" i="118"/>
  <c r="O62" i="118"/>
  <c r="P62" i="118"/>
  <c r="O63" i="118"/>
  <c r="P63" i="118"/>
  <c r="O64" i="118"/>
  <c r="P64" i="118"/>
  <c r="O65" i="118"/>
  <c r="P65" i="118"/>
  <c r="O66" i="118"/>
  <c r="P66" i="118"/>
  <c r="O67" i="118"/>
  <c r="P67" i="118"/>
  <c r="O68" i="118"/>
  <c r="P68" i="118"/>
  <c r="O69" i="118"/>
  <c r="P69" i="118"/>
  <c r="O70" i="118"/>
  <c r="P70" i="118"/>
  <c r="O71" i="118"/>
  <c r="P71" i="118"/>
  <c r="O72" i="118"/>
  <c r="P72" i="118"/>
  <c r="O73" i="118"/>
  <c r="P73" i="118"/>
  <c r="O74" i="118"/>
  <c r="P74" i="118"/>
  <c r="O75" i="118"/>
  <c r="P75" i="118"/>
  <c r="O76" i="118"/>
  <c r="P76" i="118"/>
  <c r="O77" i="118"/>
  <c r="P77" i="118"/>
  <c r="O78" i="118"/>
  <c r="P78" i="118"/>
  <c r="O79" i="118"/>
  <c r="P79" i="118"/>
  <c r="O80" i="118"/>
  <c r="P80" i="118"/>
  <c r="O81" i="118"/>
  <c r="P81" i="118"/>
  <c r="O82" i="118"/>
  <c r="P82" i="118"/>
  <c r="O83" i="118"/>
  <c r="P83" i="118"/>
  <c r="O84" i="118"/>
  <c r="P84" i="118"/>
  <c r="O85" i="118"/>
  <c r="P85" i="118"/>
  <c r="O86" i="118"/>
  <c r="P86" i="118"/>
  <c r="O87" i="118"/>
  <c r="P87" i="118"/>
  <c r="O88" i="118"/>
  <c r="P88" i="118"/>
  <c r="S88" i="118"/>
  <c r="S87" i="118"/>
  <c r="S86" i="118"/>
  <c r="S85" i="118"/>
  <c r="S84" i="118"/>
  <c r="S83" i="118"/>
  <c r="S82" i="118"/>
  <c r="S81" i="118"/>
  <c r="S80" i="118"/>
  <c r="S79" i="118"/>
  <c r="S78" i="118"/>
  <c r="S77" i="118"/>
  <c r="S76" i="118"/>
  <c r="S75" i="118"/>
  <c r="S74" i="118"/>
  <c r="S73" i="118"/>
  <c r="S72" i="118"/>
  <c r="S71" i="118"/>
  <c r="S70" i="118"/>
  <c r="S69" i="118"/>
  <c r="S68" i="118"/>
  <c r="S67" i="118"/>
  <c r="S66" i="118"/>
  <c r="S65" i="118"/>
  <c r="S64" i="118"/>
  <c r="S63" i="118"/>
  <c r="S62" i="118"/>
  <c r="S61" i="118"/>
  <c r="S60" i="118"/>
  <c r="S59" i="118"/>
  <c r="S58" i="118"/>
  <c r="S57" i="118"/>
  <c r="S56" i="118"/>
  <c r="S55" i="118"/>
  <c r="S54" i="118"/>
  <c r="S53" i="118"/>
  <c r="S52" i="118"/>
  <c r="S51" i="118"/>
  <c r="S50" i="118"/>
  <c r="S49" i="118"/>
  <c r="S48" i="118"/>
  <c r="S47" i="118"/>
  <c r="S46" i="118"/>
  <c r="S45" i="118"/>
  <c r="S44" i="118"/>
  <c r="S43" i="118"/>
  <c r="S42" i="118"/>
  <c r="S41" i="118"/>
  <c r="S40" i="118"/>
  <c r="S39" i="118"/>
  <c r="S38" i="118"/>
  <c r="S37" i="118"/>
  <c r="S36" i="118"/>
  <c r="S35" i="118"/>
  <c r="S34" i="118"/>
  <c r="S33" i="118"/>
  <c r="S32" i="118"/>
  <c r="S31" i="118"/>
  <c r="S30" i="118"/>
  <c r="S29" i="118"/>
  <c r="S28" i="118"/>
  <c r="S27" i="118"/>
  <c r="S26" i="118"/>
  <c r="S25" i="118"/>
  <c r="S24" i="118"/>
  <c r="S23" i="118"/>
  <c r="S22" i="118"/>
  <c r="S21" i="118"/>
  <c r="S20" i="118"/>
  <c r="S19" i="118"/>
  <c r="S18" i="118"/>
  <c r="S17" i="118"/>
  <c r="S16" i="118"/>
  <c r="S15" i="118"/>
  <c r="S14" i="118"/>
  <c r="S13" i="118"/>
  <c r="S12" i="118"/>
  <c r="S11" i="118"/>
  <c r="S10" i="118"/>
  <c r="S9" i="118"/>
  <c r="S8" i="118"/>
  <c r="S7" i="118"/>
  <c r="S6" i="118"/>
  <c r="S5" i="118"/>
  <c r="S4" i="118"/>
  <c r="P45" i="118"/>
  <c r="O44" i="118"/>
  <c r="O43" i="118"/>
  <c r="P43" i="118"/>
  <c r="P42" i="118"/>
  <c r="O41" i="118"/>
  <c r="P41" i="118"/>
  <c r="O40" i="118"/>
  <c r="O39" i="118"/>
  <c r="P39" i="118"/>
  <c r="P38" i="118"/>
  <c r="P37" i="118"/>
  <c r="O36" i="118"/>
  <c r="O35" i="118"/>
  <c r="P35" i="118"/>
  <c r="P34" i="118"/>
  <c r="P33" i="118"/>
  <c r="O32" i="118"/>
  <c r="O31" i="118"/>
  <c r="P31" i="118"/>
  <c r="P30" i="118"/>
  <c r="P29" i="118"/>
  <c r="O28" i="118"/>
  <c r="O27" i="118"/>
  <c r="P27" i="118"/>
  <c r="P26" i="118"/>
  <c r="P25" i="118"/>
  <c r="O24" i="118"/>
  <c r="O23" i="118"/>
  <c r="P23" i="118"/>
  <c r="P22" i="118"/>
  <c r="P21" i="118"/>
  <c r="O20" i="118"/>
  <c r="O19" i="118"/>
  <c r="P19" i="118"/>
  <c r="P18" i="118"/>
  <c r="P17" i="118"/>
  <c r="O16" i="118"/>
  <c r="O15" i="118"/>
  <c r="P15" i="118"/>
  <c r="P14" i="118"/>
  <c r="P13" i="118"/>
  <c r="O12" i="118"/>
  <c r="O11" i="118"/>
  <c r="P11" i="118"/>
  <c r="P10" i="118"/>
  <c r="P9" i="118"/>
  <c r="O8" i="118"/>
  <c r="O7" i="118"/>
  <c r="P7" i="118"/>
  <c r="P6" i="118"/>
  <c r="O5" i="118"/>
  <c r="P5" i="118"/>
  <c r="O4" i="118"/>
  <c r="E42" i="3"/>
  <c r="E42" i="87"/>
  <c r="E42" i="48"/>
  <c r="E42" i="1"/>
  <c r="E42" i="5"/>
  <c r="E42" i="6"/>
  <c r="E42" i="7"/>
  <c r="E42" i="92"/>
  <c r="E42" i="14"/>
  <c r="E42" i="81"/>
  <c r="E42" i="82"/>
  <c r="E42" i="88"/>
  <c r="E42" i="12"/>
  <c r="E42" i="13"/>
  <c r="E42" i="11"/>
  <c r="E42" i="15"/>
  <c r="E42" i="16"/>
  <c r="E42" i="19"/>
  <c r="E42" i="30"/>
  <c r="E42" i="18"/>
  <c r="E42" i="76"/>
  <c r="E42" i="77"/>
  <c r="E42" i="78"/>
  <c r="E42" i="79"/>
  <c r="E42" i="20"/>
  <c r="E42" i="21"/>
  <c r="E42" i="22"/>
  <c r="E42" i="69"/>
  <c r="E42" i="24"/>
  <c r="E42" i="25"/>
  <c r="E42" i="26"/>
  <c r="E42" i="94"/>
  <c r="E42" i="27"/>
  <c r="E42" i="28"/>
  <c r="E42" i="29"/>
  <c r="E42" i="31"/>
  <c r="E42" i="32"/>
  <c r="E42" i="33"/>
  <c r="E42" i="34"/>
  <c r="E42" i="35"/>
  <c r="E42" i="38"/>
  <c r="E42" i="39"/>
  <c r="E42" i="40"/>
  <c r="E42" i="41"/>
  <c r="E42" i="42"/>
  <c r="E42" i="95"/>
  <c r="E42" i="43"/>
  <c r="E42" i="44"/>
  <c r="E42" i="45"/>
  <c r="E42" i="46"/>
  <c r="E42" i="54"/>
  <c r="E42" i="55"/>
  <c r="E42" i="56"/>
  <c r="E42" i="57"/>
  <c r="E42" i="75"/>
  <c r="E42" i="83"/>
  <c r="E42" i="84"/>
  <c r="E42" i="85"/>
  <c r="E42" i="74"/>
  <c r="E42" i="73"/>
  <c r="E42" i="93"/>
  <c r="E42" i="72"/>
  <c r="E42" i="104"/>
  <c r="E42" i="101"/>
  <c r="E42" i="102"/>
  <c r="E42" i="103"/>
  <c r="E42" i="105"/>
  <c r="E42" i="106"/>
  <c r="E42" i="108"/>
  <c r="E42" i="110"/>
  <c r="E42" i="107"/>
  <c r="E42" i="109"/>
  <c r="E42" i="111"/>
  <c r="E42" i="117"/>
  <c r="E42" i="112"/>
  <c r="E42" i="113"/>
  <c r="E42" i="114"/>
  <c r="E42" i="115"/>
  <c r="E42" i="100"/>
  <c r="E42" i="86"/>
  <c r="E42" i="36"/>
  <c r="I26" i="119" l="1"/>
  <c r="I27" i="119" s="1"/>
  <c r="I28" i="119" s="1"/>
  <c r="P4" i="118"/>
  <c r="P8" i="118"/>
  <c r="P24" i="118"/>
  <c r="O6" i="118"/>
  <c r="O10" i="118"/>
  <c r="O14" i="118"/>
  <c r="O18" i="118"/>
  <c r="O22" i="118"/>
  <c r="O26" i="118"/>
  <c r="O30" i="118"/>
  <c r="O34" i="118"/>
  <c r="O38" i="118"/>
  <c r="O42" i="118"/>
  <c r="P12" i="118"/>
  <c r="P16" i="118"/>
  <c r="P20" i="118"/>
  <c r="P32" i="118"/>
  <c r="P44" i="118"/>
  <c r="O9" i="118"/>
  <c r="O13" i="118"/>
  <c r="O17" i="118"/>
  <c r="O21" i="118"/>
  <c r="O25" i="118"/>
  <c r="O29" i="118"/>
  <c r="O33" i="118"/>
  <c r="O37" i="118"/>
  <c r="O45" i="118"/>
  <c r="P28" i="118"/>
  <c r="P36" i="118"/>
  <c r="P40" i="118"/>
  <c r="Q122" i="10" l="1"/>
  <c r="Q126" i="10"/>
  <c r="Q117" i="10"/>
  <c r="Q115" i="10"/>
  <c r="Q125" i="10"/>
  <c r="Q114" i="10"/>
  <c r="Q113" i="10"/>
  <c r="Q112" i="10"/>
  <c r="Q110" i="10"/>
  <c r="L126" i="10"/>
  <c r="AY126" i="10" s="1"/>
  <c r="K122" i="10"/>
  <c r="AQ122" i="10" s="1"/>
  <c r="K126" i="10"/>
  <c r="AQ126" i="10" s="1"/>
  <c r="K117" i="10"/>
  <c r="AQ117" i="10" s="1"/>
  <c r="K115" i="10"/>
  <c r="AQ115" i="10" s="1"/>
  <c r="K125" i="10"/>
  <c r="AQ125" i="10" s="1"/>
  <c r="K114" i="10"/>
  <c r="AQ114" i="10" s="1"/>
  <c r="K113" i="10"/>
  <c r="AQ113" i="10" s="1"/>
  <c r="K112" i="10"/>
  <c r="AQ112" i="10" s="1"/>
  <c r="K110" i="10"/>
  <c r="AQ110" i="10" s="1"/>
  <c r="J122" i="10"/>
  <c r="AI122" i="10" s="1"/>
  <c r="J125" i="10"/>
  <c r="AI125" i="10" s="1"/>
  <c r="J110" i="10"/>
  <c r="AI110" i="10" s="1"/>
  <c r="H122" i="10"/>
  <c r="H117" i="10"/>
  <c r="AA117" i="10" s="1"/>
  <c r="H115" i="10"/>
  <c r="AA115" i="10" s="1"/>
  <c r="H125" i="10"/>
  <c r="AA125" i="10" s="1"/>
  <c r="H114" i="10"/>
  <c r="AA114" i="10" s="1"/>
  <c r="H113" i="10"/>
  <c r="AA113" i="10" s="1"/>
  <c r="H112" i="10"/>
  <c r="AA112" i="10" s="1"/>
  <c r="H110" i="10"/>
  <c r="AA110" i="10" s="1"/>
  <c r="F122" i="10"/>
  <c r="F126" i="10"/>
  <c r="F117" i="10"/>
  <c r="F115" i="10"/>
  <c r="F125" i="10"/>
  <c r="F114" i="10"/>
  <c r="F113" i="10"/>
  <c r="F112" i="10"/>
  <c r="F110" i="10"/>
  <c r="D122" i="10"/>
  <c r="D126" i="10"/>
  <c r="D117" i="10"/>
  <c r="D115" i="10"/>
  <c r="D125" i="10"/>
  <c r="D114" i="10"/>
  <c r="D113" i="10"/>
  <c r="D112" i="10"/>
  <c r="D110" i="10"/>
  <c r="C122" i="10"/>
  <c r="C118" i="10"/>
  <c r="C126" i="10"/>
  <c r="C117" i="10"/>
  <c r="C115" i="10"/>
  <c r="C125" i="10"/>
  <c r="C114" i="10"/>
  <c r="C113" i="10"/>
  <c r="C112" i="10"/>
  <c r="C110" i="10"/>
  <c r="B23" i="112"/>
  <c r="B20" i="112"/>
  <c r="N118" i="51" s="1"/>
  <c r="B19" i="112"/>
  <c r="B18" i="112"/>
  <c r="B20" i="117"/>
  <c r="N126" i="51" s="1"/>
  <c r="B19" i="117"/>
  <c r="B17" i="117"/>
  <c r="BR110" i="10" l="1"/>
  <c r="BK110" i="10"/>
  <c r="BR125" i="10"/>
  <c r="BK125" i="10"/>
  <c r="BR122" i="10"/>
  <c r="BK122" i="10"/>
  <c r="BK114" i="10"/>
  <c r="BK112" i="10"/>
  <c r="BK115" i="10"/>
  <c r="BK113" i="10"/>
  <c r="BK117" i="10"/>
  <c r="BN110" i="10"/>
  <c r="BO110" i="10"/>
  <c r="BP110" i="10"/>
  <c r="BQ110" i="10"/>
  <c r="BL110" i="10"/>
  <c r="BS110" i="10"/>
  <c r="BH110" i="10"/>
  <c r="BI110" i="10"/>
  <c r="BJ110" i="10"/>
  <c r="BG110" i="10"/>
  <c r="BL125" i="10"/>
  <c r="BN125" i="10"/>
  <c r="BO125" i="10"/>
  <c r="BJ125" i="10"/>
  <c r="BQ125" i="10"/>
  <c r="BG125" i="10"/>
  <c r="BP125" i="10"/>
  <c r="BS125" i="10"/>
  <c r="BH125" i="10"/>
  <c r="BI125" i="10"/>
  <c r="BQ122" i="10"/>
  <c r="BS122" i="10"/>
  <c r="BL122" i="10"/>
  <c r="BN122" i="10"/>
  <c r="BO122" i="10"/>
  <c r="BP122" i="10"/>
  <c r="BH122" i="10"/>
  <c r="BG122" i="10"/>
  <c r="BI122" i="10"/>
  <c r="BJ122" i="10"/>
  <c r="O122" i="10"/>
  <c r="AA122" i="10"/>
  <c r="BI114" i="10"/>
  <c r="BJ114" i="10"/>
  <c r="BN114" i="10"/>
  <c r="BO114" i="10"/>
  <c r="BP114" i="10"/>
  <c r="BQ114" i="10"/>
  <c r="BH114" i="10"/>
  <c r="BS114" i="10"/>
  <c r="BL114" i="10"/>
  <c r="BG114" i="10"/>
  <c r="BS126" i="10"/>
  <c r="BL126" i="10"/>
  <c r="BQ126" i="10"/>
  <c r="BG126" i="10"/>
  <c r="BP126" i="10"/>
  <c r="BI126" i="10"/>
  <c r="BJ126" i="10"/>
  <c r="BH126" i="10"/>
  <c r="BN126" i="10"/>
  <c r="BO126" i="10"/>
  <c r="BP112" i="10"/>
  <c r="BO112" i="10"/>
  <c r="BQ112" i="10"/>
  <c r="BJ112" i="10"/>
  <c r="BS112" i="10"/>
  <c r="BG112" i="10"/>
  <c r="BH112" i="10"/>
  <c r="BI112" i="10"/>
  <c r="BL112" i="10"/>
  <c r="BN112" i="10"/>
  <c r="BJ115" i="10"/>
  <c r="BG115" i="10"/>
  <c r="BH115" i="10"/>
  <c r="BO115" i="10"/>
  <c r="BL115" i="10"/>
  <c r="BS115" i="10"/>
  <c r="BI115" i="10"/>
  <c r="BP115" i="10"/>
  <c r="BN115" i="10"/>
  <c r="BQ115" i="10"/>
  <c r="BH113" i="10"/>
  <c r="BN113" i="10"/>
  <c r="BJ113" i="10"/>
  <c r="BL113" i="10"/>
  <c r="BO113" i="10"/>
  <c r="BG113" i="10"/>
  <c r="BI113" i="10"/>
  <c r="BQ113" i="10"/>
  <c r="BP113" i="10"/>
  <c r="BS113" i="10"/>
  <c r="BL117" i="10"/>
  <c r="BN117" i="10"/>
  <c r="BO117" i="10"/>
  <c r="BG117" i="10"/>
  <c r="BQ117" i="10"/>
  <c r="BP117" i="10"/>
  <c r="BS117" i="10"/>
  <c r="BH117" i="10"/>
  <c r="BI117" i="10"/>
  <c r="BJ117" i="10"/>
  <c r="B25" i="112"/>
  <c r="N118" i="50"/>
  <c r="S118" i="50" s="1"/>
  <c r="B24" i="112"/>
  <c r="J118" i="51"/>
  <c r="J118" i="50"/>
  <c r="H126" i="50"/>
  <c r="O126" i="50" s="1"/>
  <c r="H126" i="51"/>
  <c r="O126" i="51" s="1"/>
  <c r="B25" i="117"/>
  <c r="N126" i="10" s="1"/>
  <c r="S126" i="10" s="1"/>
  <c r="N126" i="50"/>
  <c r="S126" i="50" s="1"/>
  <c r="H126" i="10"/>
  <c r="AA126" i="10" s="1"/>
  <c r="W126" i="51"/>
  <c r="V126" i="51"/>
  <c r="T126" i="51"/>
  <c r="X126" i="51"/>
  <c r="Y126" i="51"/>
  <c r="U126" i="51"/>
  <c r="B23" i="117"/>
  <c r="B18" i="117"/>
  <c r="BK126" i="10" l="1"/>
  <c r="S127" i="50"/>
  <c r="J126" i="51"/>
  <c r="J126" i="50"/>
  <c r="M118" i="50"/>
  <c r="M118" i="51"/>
  <c r="B24" i="117"/>
  <c r="J126" i="10"/>
  <c r="BR126" i="10" s="1"/>
  <c r="AI126" i="10" l="1"/>
  <c r="M126" i="50"/>
  <c r="M126" i="51"/>
  <c r="M126" i="10"/>
  <c r="B20" i="107"/>
  <c r="B18" i="107"/>
  <c r="B20" i="113"/>
  <c r="B22" i="114"/>
  <c r="B20" i="114"/>
  <c r="B20" i="115"/>
  <c r="B24" i="114" l="1"/>
  <c r="L120" i="51"/>
  <c r="L120" i="50"/>
  <c r="J119" i="51"/>
  <c r="AK119" i="50" s="1"/>
  <c r="AK127" i="50" s="1"/>
  <c r="J119" i="50"/>
  <c r="B22" i="113"/>
  <c r="L119" i="10" s="1"/>
  <c r="AY119" i="10" s="1"/>
  <c r="N119" i="51"/>
  <c r="B22" i="107"/>
  <c r="N115" i="51"/>
  <c r="B22" i="115"/>
  <c r="N121" i="51"/>
  <c r="B25" i="114"/>
  <c r="N120" i="51"/>
  <c r="J115" i="51"/>
  <c r="J115" i="50"/>
  <c r="B23" i="107"/>
  <c r="L115" i="10"/>
  <c r="AY115" i="10" s="1"/>
  <c r="J115" i="10"/>
  <c r="BR115" i="10" s="1"/>
  <c r="B24" i="107"/>
  <c r="B25" i="107"/>
  <c r="B25" i="113"/>
  <c r="N119" i="10" s="1"/>
  <c r="S119" i="10" s="1"/>
  <c r="B23" i="114"/>
  <c r="B25" i="115"/>
  <c r="B67" i="99"/>
  <c r="B66" i="99"/>
  <c r="B65" i="99"/>
  <c r="B64" i="99"/>
  <c r="B63" i="99"/>
  <c r="B62" i="99"/>
  <c r="B61" i="99"/>
  <c r="B55" i="99"/>
  <c r="B54" i="99"/>
  <c r="B53" i="99"/>
  <c r="B52" i="99"/>
  <c r="B51" i="99"/>
  <c r="B50" i="99"/>
  <c r="R125" i="50"/>
  <c r="R124" i="50"/>
  <c r="R122" i="50"/>
  <c r="R112" i="50"/>
  <c r="N111" i="50"/>
  <c r="N13" i="50"/>
  <c r="Z127" i="51"/>
  <c r="AA127" i="51"/>
  <c r="AB127" i="51"/>
  <c r="AC127" i="51"/>
  <c r="AD127" i="51"/>
  <c r="AE127" i="51"/>
  <c r="AF127" i="51"/>
  <c r="AG127" i="51"/>
  <c r="AH127" i="51"/>
  <c r="AI127" i="51"/>
  <c r="AJ127" i="51"/>
  <c r="AK127" i="51"/>
  <c r="AL127" i="51"/>
  <c r="AM127" i="51"/>
  <c r="AN127" i="51"/>
  <c r="AO127" i="51"/>
  <c r="AP127" i="51"/>
  <c r="AQ127" i="51"/>
  <c r="AR127" i="51"/>
  <c r="AS127" i="51"/>
  <c r="AT127" i="51"/>
  <c r="AU127" i="51"/>
  <c r="AV127" i="51"/>
  <c r="AW127" i="51"/>
  <c r="AX127" i="51"/>
  <c r="AY127" i="51"/>
  <c r="AZ127" i="51"/>
  <c r="BA127" i="51"/>
  <c r="BB127" i="51"/>
  <c r="BC127" i="51"/>
  <c r="BD127" i="51"/>
  <c r="BE127" i="51"/>
  <c r="BF127" i="51"/>
  <c r="BG127" i="51"/>
  <c r="BH127" i="51"/>
  <c r="BI127" i="51"/>
  <c r="BJ127" i="51"/>
  <c r="BK127" i="51"/>
  <c r="BL127" i="51"/>
  <c r="BM127" i="51"/>
  <c r="BN127" i="51"/>
  <c r="BO127" i="51"/>
  <c r="BP127" i="51"/>
  <c r="BQ127" i="51"/>
  <c r="BR127" i="51"/>
  <c r="BS127" i="51"/>
  <c r="Z128" i="51"/>
  <c r="AA128" i="51"/>
  <c r="AB128" i="51"/>
  <c r="AC128" i="51"/>
  <c r="AD128" i="51"/>
  <c r="AE128" i="51"/>
  <c r="AF128" i="51"/>
  <c r="AG128" i="51"/>
  <c r="AH128" i="51"/>
  <c r="AI128" i="51"/>
  <c r="AJ128" i="51"/>
  <c r="AK128" i="51"/>
  <c r="AL128" i="51"/>
  <c r="AM128" i="51"/>
  <c r="AN128" i="51"/>
  <c r="AO128" i="51"/>
  <c r="AP128" i="51"/>
  <c r="AQ128" i="51"/>
  <c r="AR128" i="51"/>
  <c r="AS128" i="51"/>
  <c r="AT128" i="51"/>
  <c r="AU128" i="51"/>
  <c r="AV128" i="51"/>
  <c r="AW128" i="51"/>
  <c r="AX128" i="51"/>
  <c r="AY128" i="51"/>
  <c r="AZ128" i="51"/>
  <c r="BA128" i="51"/>
  <c r="BB128" i="51"/>
  <c r="BC128" i="51"/>
  <c r="BD128" i="51"/>
  <c r="BE128" i="51"/>
  <c r="BF128" i="51"/>
  <c r="BG128" i="51"/>
  <c r="BH128" i="51"/>
  <c r="BI128" i="51"/>
  <c r="BJ128" i="51"/>
  <c r="BK128" i="51"/>
  <c r="BL128" i="51"/>
  <c r="BM128" i="51"/>
  <c r="BN128" i="51"/>
  <c r="BO128" i="51"/>
  <c r="BP128" i="51"/>
  <c r="BQ128" i="51"/>
  <c r="BR128" i="51"/>
  <c r="BS128" i="51"/>
  <c r="Q121" i="10"/>
  <c r="Q120" i="10"/>
  <c r="Q119" i="10"/>
  <c r="Q118" i="10"/>
  <c r="Q116" i="10"/>
  <c r="Q124" i="10"/>
  <c r="Q123" i="10"/>
  <c r="Q111" i="10"/>
  <c r="R121" i="50"/>
  <c r="N121" i="10"/>
  <c r="N120" i="10"/>
  <c r="N118" i="10"/>
  <c r="S118" i="10" s="1"/>
  <c r="M120" i="10"/>
  <c r="M118" i="10"/>
  <c r="L121" i="10"/>
  <c r="AY121" i="10" s="1"/>
  <c r="L120" i="10"/>
  <c r="AY120" i="10" s="1"/>
  <c r="L118" i="10"/>
  <c r="AY118" i="10" s="1"/>
  <c r="K119" i="10"/>
  <c r="AQ119" i="10" s="1"/>
  <c r="K121" i="10"/>
  <c r="AQ121" i="10" s="1"/>
  <c r="K120" i="10"/>
  <c r="AQ120" i="10" s="1"/>
  <c r="K118" i="10"/>
  <c r="AQ118" i="10" s="1"/>
  <c r="K116" i="10"/>
  <c r="AQ116" i="10" s="1"/>
  <c r="K124" i="10"/>
  <c r="AQ124" i="10" s="1"/>
  <c r="K123" i="10"/>
  <c r="AQ123" i="10" s="1"/>
  <c r="K111" i="10"/>
  <c r="AR111" i="10" s="1"/>
  <c r="J121" i="10"/>
  <c r="AI121" i="10" s="1"/>
  <c r="J120" i="10"/>
  <c r="AI120" i="10" s="1"/>
  <c r="J119" i="10"/>
  <c r="AI119" i="10" s="1"/>
  <c r="J118" i="10"/>
  <c r="AI118" i="10" s="1"/>
  <c r="J111" i="10"/>
  <c r="AJ111" i="10" s="1"/>
  <c r="O125" i="50"/>
  <c r="O125" i="51"/>
  <c r="H121" i="10"/>
  <c r="H120" i="10"/>
  <c r="H119" i="10"/>
  <c r="AA119" i="10" s="1"/>
  <c r="H118" i="10"/>
  <c r="AA118" i="10" s="1"/>
  <c r="H116" i="10"/>
  <c r="AA116" i="10" s="1"/>
  <c r="H124" i="10"/>
  <c r="AA124" i="10" s="1"/>
  <c r="H123" i="10"/>
  <c r="AA123" i="10" s="1"/>
  <c r="O111" i="50"/>
  <c r="O111" i="51"/>
  <c r="H111" i="10"/>
  <c r="F121" i="10"/>
  <c r="F120" i="10"/>
  <c r="F119" i="10"/>
  <c r="F118" i="10"/>
  <c r="F116" i="10"/>
  <c r="F124" i="10"/>
  <c r="F123" i="10"/>
  <c r="F111" i="10"/>
  <c r="W115" i="51"/>
  <c r="D121" i="10"/>
  <c r="D120" i="10"/>
  <c r="D119" i="10"/>
  <c r="D118" i="10"/>
  <c r="D116" i="10"/>
  <c r="D124" i="10"/>
  <c r="D123" i="10"/>
  <c r="D111" i="10"/>
  <c r="C121" i="10"/>
  <c r="C120" i="10"/>
  <c r="C119" i="10"/>
  <c r="C116" i="10"/>
  <c r="C124" i="10"/>
  <c r="C123" i="10"/>
  <c r="C111" i="10"/>
  <c r="O121" i="50"/>
  <c r="O110" i="51"/>
  <c r="O110" i="10"/>
  <c r="O110" i="50"/>
  <c r="AL119" i="50" l="1"/>
  <c r="AW119" i="50"/>
  <c r="AQ135" i="10"/>
  <c r="AA135" i="10"/>
  <c r="AJ135" i="10"/>
  <c r="AR135" i="10"/>
  <c r="BK124" i="10"/>
  <c r="BR111" i="10"/>
  <c r="BK111" i="10"/>
  <c r="BR118" i="10"/>
  <c r="BK118" i="10"/>
  <c r="BK120" i="10"/>
  <c r="BR120" i="10"/>
  <c r="BK123" i="10"/>
  <c r="BR119" i="10"/>
  <c r="BK119" i="10"/>
  <c r="BK116" i="10"/>
  <c r="BR121" i="10"/>
  <c r="BK121" i="10"/>
  <c r="R121" i="10"/>
  <c r="S121" i="10"/>
  <c r="BG123" i="10"/>
  <c r="BH123" i="10"/>
  <c r="BJ123" i="10"/>
  <c r="BL123" i="10"/>
  <c r="BO123" i="10"/>
  <c r="BP123" i="10"/>
  <c r="BI123" i="10"/>
  <c r="BQ123" i="10"/>
  <c r="BS123" i="10"/>
  <c r="BN123" i="10"/>
  <c r="BS119" i="10"/>
  <c r="BN119" i="10"/>
  <c r="BP119" i="10"/>
  <c r="BI119" i="10"/>
  <c r="BG119" i="10"/>
  <c r="BH119" i="10"/>
  <c r="BO119" i="10"/>
  <c r="BQ119" i="10"/>
  <c r="BJ119" i="10"/>
  <c r="BL119" i="10"/>
  <c r="O121" i="10"/>
  <c r="AA121" i="10"/>
  <c r="O120" i="10"/>
  <c r="AA120" i="10"/>
  <c r="BJ124" i="10"/>
  <c r="BQ124" i="10"/>
  <c r="BN124" i="10"/>
  <c r="BG124" i="10"/>
  <c r="BI124" i="10"/>
  <c r="BP124" i="10"/>
  <c r="BO124" i="10"/>
  <c r="BS124" i="10"/>
  <c r="BH124" i="10"/>
  <c r="BL124" i="10"/>
  <c r="BP120" i="10"/>
  <c r="BO120" i="10"/>
  <c r="BG120" i="10"/>
  <c r="BH120" i="10"/>
  <c r="BI120" i="10"/>
  <c r="BL120" i="10"/>
  <c r="BN120" i="10"/>
  <c r="BS120" i="10"/>
  <c r="BQ120" i="10"/>
  <c r="BJ120" i="10"/>
  <c r="AI115" i="10"/>
  <c r="BG111" i="10"/>
  <c r="BH111" i="10"/>
  <c r="BN111" i="10"/>
  <c r="BJ111" i="10"/>
  <c r="BL111" i="10"/>
  <c r="BS111" i="10"/>
  <c r="BO111" i="10"/>
  <c r="BP111" i="10"/>
  <c r="BI111" i="10"/>
  <c r="BQ111" i="10"/>
  <c r="BH118" i="10"/>
  <c r="BS118" i="10"/>
  <c r="BQ118" i="10"/>
  <c r="BO118" i="10"/>
  <c r="BL118" i="10"/>
  <c r="BG118" i="10"/>
  <c r="BN118" i="10"/>
  <c r="BP118" i="10"/>
  <c r="BI118" i="10"/>
  <c r="BJ118" i="10"/>
  <c r="O111" i="10"/>
  <c r="AB111" i="10"/>
  <c r="BP116" i="10"/>
  <c r="BS116" i="10"/>
  <c r="BO116" i="10"/>
  <c r="BQ116" i="10"/>
  <c r="BJ116" i="10"/>
  <c r="BH116" i="10"/>
  <c r="BN116" i="10"/>
  <c r="BG116" i="10"/>
  <c r="BL116" i="10"/>
  <c r="BI116" i="10"/>
  <c r="BI121" i="10"/>
  <c r="BJ121" i="10"/>
  <c r="BQ121" i="10"/>
  <c r="BH121" i="10"/>
  <c r="BN121" i="10"/>
  <c r="BO121" i="10"/>
  <c r="BL121" i="10"/>
  <c r="BP121" i="10"/>
  <c r="BS121" i="10"/>
  <c r="BG121" i="10"/>
  <c r="R120" i="10"/>
  <c r="S120" i="10"/>
  <c r="R111" i="50"/>
  <c r="T111" i="50"/>
  <c r="T127" i="50" s="1"/>
  <c r="M115" i="50"/>
  <c r="M115" i="51"/>
  <c r="L121" i="50"/>
  <c r="L121" i="51"/>
  <c r="J116" i="51"/>
  <c r="J116" i="50"/>
  <c r="B24" i="115"/>
  <c r="L115" i="51"/>
  <c r="L115" i="50"/>
  <c r="B23" i="113"/>
  <c r="L119" i="50"/>
  <c r="L119" i="51"/>
  <c r="B23" i="115"/>
  <c r="B24" i="113"/>
  <c r="M119" i="10" s="1"/>
  <c r="M120" i="50"/>
  <c r="M120" i="51"/>
  <c r="BP130" i="51"/>
  <c r="AZ130" i="51"/>
  <c r="AJ130" i="51"/>
  <c r="AN130" i="50"/>
  <c r="AS130" i="51"/>
  <c r="AV130" i="50"/>
  <c r="BD130" i="50"/>
  <c r="BQ130" i="51"/>
  <c r="BI130" i="51"/>
  <c r="BA130" i="51"/>
  <c r="AK130" i="51"/>
  <c r="AC130" i="51"/>
  <c r="Z130" i="50"/>
  <c r="J116" i="10"/>
  <c r="AI116" i="10" s="1"/>
  <c r="O119" i="10"/>
  <c r="O119" i="50"/>
  <c r="BM130" i="51"/>
  <c r="BE130" i="51"/>
  <c r="AW130" i="51"/>
  <c r="AO130" i="51"/>
  <c r="AG130" i="51"/>
  <c r="M115" i="10"/>
  <c r="BR130" i="51"/>
  <c r="BN130" i="51"/>
  <c r="BJ130" i="51"/>
  <c r="BF130" i="51"/>
  <c r="BB130" i="51"/>
  <c r="AX130" i="51"/>
  <c r="AT130" i="51"/>
  <c r="AP130" i="51"/>
  <c r="AL130" i="51"/>
  <c r="AH130" i="51"/>
  <c r="AD130" i="51"/>
  <c r="Z130" i="51"/>
  <c r="BH130" i="51"/>
  <c r="AR130" i="51"/>
  <c r="AB130" i="51"/>
  <c r="BL130" i="50"/>
  <c r="AG130" i="50"/>
  <c r="O118" i="51"/>
  <c r="N115" i="10"/>
  <c r="O118" i="50"/>
  <c r="BS130" i="51"/>
  <c r="BO130" i="51"/>
  <c r="BK130" i="51"/>
  <c r="BG130" i="51"/>
  <c r="BC130" i="51"/>
  <c r="AY130" i="51"/>
  <c r="AU130" i="51"/>
  <c r="AQ130" i="51"/>
  <c r="AM130" i="51"/>
  <c r="AI130" i="51"/>
  <c r="AE130" i="51"/>
  <c r="AA130" i="51"/>
  <c r="BL130" i="51"/>
  <c r="BD130" i="51"/>
  <c r="AV130" i="51"/>
  <c r="AN130" i="51"/>
  <c r="AF130" i="51"/>
  <c r="V119" i="51"/>
  <c r="U112" i="51"/>
  <c r="T119" i="51"/>
  <c r="V115" i="51"/>
  <c r="O118" i="10"/>
  <c r="Y125" i="51"/>
  <c r="O121" i="51"/>
  <c r="U124" i="51"/>
  <c r="X119" i="51"/>
  <c r="W118" i="51"/>
  <c r="U113" i="51"/>
  <c r="O122" i="50"/>
  <c r="R121" i="51"/>
  <c r="W119" i="51"/>
  <c r="W114" i="51"/>
  <c r="X124" i="51"/>
  <c r="V114" i="51"/>
  <c r="Y113" i="51"/>
  <c r="T124" i="51"/>
  <c r="U122" i="51"/>
  <c r="O122" i="51"/>
  <c r="Y124" i="51"/>
  <c r="W124" i="51"/>
  <c r="X123" i="51"/>
  <c r="V122" i="51"/>
  <c r="X121" i="51"/>
  <c r="U121" i="51"/>
  <c r="Y118" i="51"/>
  <c r="U118" i="51"/>
  <c r="T115" i="51"/>
  <c r="T113" i="51"/>
  <c r="Y112" i="51"/>
  <c r="O126" i="10"/>
  <c r="O125" i="10"/>
  <c r="V118" i="51"/>
  <c r="Y114" i="51"/>
  <c r="W125" i="51"/>
  <c r="V125" i="51"/>
  <c r="X125" i="51"/>
  <c r="W117" i="51"/>
  <c r="T117" i="51"/>
  <c r="Y117" i="51"/>
  <c r="X117" i="51"/>
  <c r="U117" i="51"/>
  <c r="R119" i="10"/>
  <c r="R118" i="10"/>
  <c r="R126" i="10"/>
  <c r="U123" i="51"/>
  <c r="Y123" i="51"/>
  <c r="W123" i="51"/>
  <c r="V123" i="51"/>
  <c r="T123" i="51"/>
  <c r="V117" i="51"/>
  <c r="V112" i="51"/>
  <c r="X112" i="51"/>
  <c r="W112" i="51"/>
  <c r="T112" i="51"/>
  <c r="V116" i="51"/>
  <c r="T116" i="51"/>
  <c r="Y116" i="51"/>
  <c r="X116" i="51"/>
  <c r="U116" i="51"/>
  <c r="U125" i="51"/>
  <c r="T125" i="51"/>
  <c r="U120" i="51"/>
  <c r="W120" i="51"/>
  <c r="X120" i="51"/>
  <c r="W116" i="51"/>
  <c r="U111" i="51"/>
  <c r="Y111" i="51"/>
  <c r="S111" i="51"/>
  <c r="X111" i="51"/>
  <c r="W111" i="51"/>
  <c r="V111" i="51"/>
  <c r="T122" i="51"/>
  <c r="X122" i="51"/>
  <c r="Y122" i="51"/>
  <c r="W122" i="51"/>
  <c r="V121" i="51"/>
  <c r="W113" i="51"/>
  <c r="X113" i="51"/>
  <c r="V113" i="51"/>
  <c r="R119" i="50"/>
  <c r="V124" i="51"/>
  <c r="Y121" i="51"/>
  <c r="T121" i="51"/>
  <c r="Y120" i="51"/>
  <c r="T120" i="51"/>
  <c r="U119" i="51"/>
  <c r="Y119" i="51"/>
  <c r="T118" i="51"/>
  <c r="X118" i="51"/>
  <c r="X115" i="51"/>
  <c r="U114" i="51"/>
  <c r="S121" i="51"/>
  <c r="W121" i="51"/>
  <c r="V120" i="51"/>
  <c r="U115" i="51"/>
  <c r="Y115" i="51"/>
  <c r="T114" i="51"/>
  <c r="X114" i="51"/>
  <c r="R123" i="50"/>
  <c r="R113" i="50"/>
  <c r="W110" i="51"/>
  <c r="V110" i="51"/>
  <c r="X110" i="51"/>
  <c r="T110" i="51"/>
  <c r="Y110" i="51"/>
  <c r="U110" i="51"/>
  <c r="BP135" i="10" l="1"/>
  <c r="BJ135" i="10"/>
  <c r="C7" i="99" s="1"/>
  <c r="BO135" i="10"/>
  <c r="D8" i="99" s="1"/>
  <c r="BN135" i="10"/>
  <c r="D5" i="99" s="1"/>
  <c r="BK135" i="10"/>
  <c r="C4" i="99" s="1"/>
  <c r="BQ135" i="10"/>
  <c r="D7" i="99" s="1"/>
  <c r="BS135" i="10"/>
  <c r="D9" i="99" s="1"/>
  <c r="BH135" i="10"/>
  <c r="C8" i="99" s="1"/>
  <c r="BI135" i="10"/>
  <c r="C6" i="99" s="1"/>
  <c r="BL135" i="10"/>
  <c r="C9" i="99" s="1"/>
  <c r="BG135" i="10"/>
  <c r="C5" i="99" s="1"/>
  <c r="AB135" i="10"/>
  <c r="C16" i="99" s="1"/>
  <c r="BR116" i="10"/>
  <c r="C15" i="99"/>
  <c r="X127" i="51"/>
  <c r="O115" i="10"/>
  <c r="S115" i="10"/>
  <c r="U127" i="51"/>
  <c r="V127" i="51"/>
  <c r="D6" i="99"/>
  <c r="Y127" i="51"/>
  <c r="W127" i="51"/>
  <c r="M119" i="50"/>
  <c r="M119" i="51"/>
  <c r="M121" i="50"/>
  <c r="M121" i="51"/>
  <c r="M121" i="10"/>
  <c r="R118" i="50"/>
  <c r="R115" i="10"/>
  <c r="R118" i="51"/>
  <c r="S118" i="51"/>
  <c r="E19" i="99"/>
  <c r="F43" i="99"/>
  <c r="F21" i="99"/>
  <c r="F19" i="99"/>
  <c r="D42" i="99"/>
  <c r="F20" i="99"/>
  <c r="C41" i="99"/>
  <c r="F40" i="99"/>
  <c r="D39" i="99"/>
  <c r="D18" i="99"/>
  <c r="C19" i="99"/>
  <c r="F42" i="99"/>
  <c r="C38" i="99"/>
  <c r="E41" i="99"/>
  <c r="D29" i="99"/>
  <c r="E42" i="99"/>
  <c r="C40" i="99"/>
  <c r="D16" i="99"/>
  <c r="D20" i="99"/>
  <c r="C42" i="99"/>
  <c r="D28" i="99"/>
  <c r="F17" i="99"/>
  <c r="F41" i="99"/>
  <c r="C30" i="99"/>
  <c r="C28" i="99"/>
  <c r="D32" i="99"/>
  <c r="E18" i="99"/>
  <c r="C21" i="99"/>
  <c r="D30" i="99"/>
  <c r="C27" i="99"/>
  <c r="D19" i="99"/>
  <c r="E44" i="99"/>
  <c r="C20" i="99"/>
  <c r="E15" i="99"/>
  <c r="D40" i="99"/>
  <c r="E43" i="99"/>
  <c r="E39" i="99"/>
  <c r="E40" i="99"/>
  <c r="D31" i="99"/>
  <c r="D43" i="99"/>
  <c r="E38" i="99"/>
  <c r="C18" i="99"/>
  <c r="E16" i="99"/>
  <c r="E17" i="99"/>
  <c r="E20" i="99"/>
  <c r="E21" i="99"/>
  <c r="D17" i="99"/>
  <c r="D44" i="99"/>
  <c r="C31" i="99"/>
  <c r="D41" i="99"/>
  <c r="F18" i="99"/>
  <c r="D21" i="99"/>
  <c r="C32" i="99"/>
  <c r="F44" i="99"/>
  <c r="C43" i="99"/>
  <c r="C39" i="99"/>
  <c r="C44" i="99"/>
  <c r="C29" i="99"/>
  <c r="C17" i="99"/>
  <c r="D55" i="99" l="1"/>
  <c r="C50" i="99"/>
  <c r="F65" i="99"/>
  <c r="E8" i="99"/>
  <c r="F8" i="99" s="1"/>
  <c r="D54" i="99"/>
  <c r="D52" i="99"/>
  <c r="D66" i="99"/>
  <c r="E64" i="99"/>
  <c r="F63" i="99"/>
  <c r="D51" i="99"/>
  <c r="E5" i="99"/>
  <c r="F5" i="99" s="1"/>
  <c r="C52" i="99"/>
  <c r="C54" i="99"/>
  <c r="E54" i="99" s="1"/>
  <c r="F54" i="99" s="1"/>
  <c r="D65" i="99"/>
  <c r="C61" i="99"/>
  <c r="G20" i="99"/>
  <c r="D64" i="99"/>
  <c r="G40" i="99"/>
  <c r="F66" i="99"/>
  <c r="E65" i="99"/>
  <c r="C53" i="99"/>
  <c r="C63" i="99"/>
  <c r="E6" i="99"/>
  <c r="F6" i="99" s="1"/>
  <c r="C64" i="99"/>
  <c r="D63" i="99"/>
  <c r="C65" i="99"/>
  <c r="D62" i="99"/>
  <c r="F64" i="99"/>
  <c r="E61" i="99"/>
  <c r="G42" i="99"/>
  <c r="G44" i="99"/>
  <c r="E7" i="99"/>
  <c r="F7" i="99" s="1"/>
  <c r="E9" i="99"/>
  <c r="F9" i="99" s="1"/>
  <c r="F67" i="99"/>
  <c r="C45" i="99"/>
  <c r="H41" i="99" s="1"/>
  <c r="C67" i="99"/>
  <c r="C10" i="99"/>
  <c r="H7" i="99" s="1"/>
  <c r="E29" i="99"/>
  <c r="F29" i="99" s="1"/>
  <c r="C66" i="99"/>
  <c r="E66" i="99"/>
  <c r="D53" i="99"/>
  <c r="C51" i="99"/>
  <c r="G21" i="99"/>
  <c r="G18" i="99"/>
  <c r="C55" i="99"/>
  <c r="E63" i="99"/>
  <c r="G19" i="99"/>
  <c r="E32" i="99"/>
  <c r="F32" i="99" s="1"/>
  <c r="G43" i="99"/>
  <c r="E22" i="99"/>
  <c r="E67" i="99"/>
  <c r="E45" i="99"/>
  <c r="C22" i="99"/>
  <c r="H21" i="99" s="1"/>
  <c r="C33" i="99"/>
  <c r="H28" i="99" s="1"/>
  <c r="G41" i="99"/>
  <c r="E28" i="99"/>
  <c r="F28" i="99" s="1"/>
  <c r="E31" i="99"/>
  <c r="F31" i="99" s="1"/>
  <c r="G17" i="99"/>
  <c r="E62" i="99"/>
  <c r="C62" i="99"/>
  <c r="E30" i="99"/>
  <c r="F30" i="99" s="1"/>
  <c r="D67" i="99"/>
  <c r="E55" i="99" l="1"/>
  <c r="F55" i="99" s="1"/>
  <c r="E52" i="99"/>
  <c r="F52" i="99" s="1"/>
  <c r="H6" i="99"/>
  <c r="E51" i="99"/>
  <c r="F51" i="99" s="1"/>
  <c r="H4" i="99"/>
  <c r="G65" i="99"/>
  <c r="H38" i="99"/>
  <c r="G66" i="99"/>
  <c r="G64" i="99"/>
  <c r="G63" i="99"/>
  <c r="H40" i="99"/>
  <c r="E53" i="99"/>
  <c r="F53" i="99" s="1"/>
  <c r="H44" i="99"/>
  <c r="H42" i="99"/>
  <c r="H30" i="99"/>
  <c r="H45" i="99"/>
  <c r="H18" i="99"/>
  <c r="H32" i="99"/>
  <c r="E68" i="99"/>
  <c r="H19" i="99"/>
  <c r="H43" i="99"/>
  <c r="H39" i="99"/>
  <c r="H16" i="99"/>
  <c r="H9" i="99"/>
  <c r="H8" i="99"/>
  <c r="H10" i="99"/>
  <c r="H5" i="99"/>
  <c r="C56" i="99"/>
  <c r="H53" i="99" s="1"/>
  <c r="H27" i="99"/>
  <c r="H20" i="99"/>
  <c r="G67" i="99"/>
  <c r="H22" i="99"/>
  <c r="H15" i="99"/>
  <c r="C68" i="99"/>
  <c r="H17" i="99"/>
  <c r="H31" i="99"/>
  <c r="H29" i="99"/>
  <c r="H33" i="99"/>
  <c r="B18" i="108"/>
  <c r="B20" i="105"/>
  <c r="B20" i="106"/>
  <c r="B22" i="106" s="1"/>
  <c r="B20" i="108"/>
  <c r="B20" i="110"/>
  <c r="B20" i="111"/>
  <c r="B22" i="111" s="1"/>
  <c r="B20" i="103"/>
  <c r="N124" i="51" s="1"/>
  <c r="B20" i="102"/>
  <c r="N123" i="51" s="1"/>
  <c r="B20" i="104"/>
  <c r="B20" i="109"/>
  <c r="N116" i="51" s="1"/>
  <c r="B20" i="101"/>
  <c r="N111" i="51" s="1"/>
  <c r="B20" i="100"/>
  <c r="L113" i="50" l="1"/>
  <c r="L113" i="51"/>
  <c r="B24" i="106"/>
  <c r="M113" i="10" s="1"/>
  <c r="B23" i="106"/>
  <c r="B23" i="111"/>
  <c r="L117" i="51"/>
  <c r="L117" i="50"/>
  <c r="B22" i="110"/>
  <c r="N125" i="51"/>
  <c r="J124" i="51"/>
  <c r="O124" i="51" s="1"/>
  <c r="J124" i="50"/>
  <c r="O124" i="50" s="1"/>
  <c r="B22" i="108"/>
  <c r="N114" i="51"/>
  <c r="J112" i="51"/>
  <c r="J112" i="50"/>
  <c r="O112" i="50" s="1"/>
  <c r="B22" i="100"/>
  <c r="N122" i="51"/>
  <c r="B22" i="104"/>
  <c r="N110" i="51"/>
  <c r="J123" i="51"/>
  <c r="J123" i="50"/>
  <c r="O123" i="50" s="1"/>
  <c r="J114" i="51"/>
  <c r="J114" i="50"/>
  <c r="R123" i="51"/>
  <c r="S123" i="51"/>
  <c r="B24" i="111"/>
  <c r="J117" i="51"/>
  <c r="J117" i="50"/>
  <c r="O117" i="50" s="1"/>
  <c r="S124" i="51"/>
  <c r="R124" i="51"/>
  <c r="B22" i="109"/>
  <c r="B25" i="111"/>
  <c r="N117" i="10" s="1"/>
  <c r="S117" i="10" s="1"/>
  <c r="N117" i="51"/>
  <c r="B25" i="106"/>
  <c r="N113" i="51"/>
  <c r="B25" i="105"/>
  <c r="N112" i="51"/>
  <c r="J113" i="51"/>
  <c r="J113" i="50"/>
  <c r="O113" i="50" s="1"/>
  <c r="B25" i="101"/>
  <c r="N111" i="10" s="1"/>
  <c r="T111" i="10" s="1"/>
  <c r="L114" i="10"/>
  <c r="AY114" i="10" s="1"/>
  <c r="J112" i="10"/>
  <c r="BR112" i="10" s="1"/>
  <c r="B22" i="101"/>
  <c r="B22" i="102"/>
  <c r="N113" i="10"/>
  <c r="S113" i="10" s="1"/>
  <c r="N112" i="10"/>
  <c r="S112" i="10" s="1"/>
  <c r="J113" i="10"/>
  <c r="BR113" i="10" s="1"/>
  <c r="L117" i="10"/>
  <c r="AY117" i="10" s="1"/>
  <c r="B25" i="109"/>
  <c r="N116" i="10" s="1"/>
  <c r="S116" i="10" s="1"/>
  <c r="B22" i="103"/>
  <c r="L113" i="10"/>
  <c r="AY113" i="10" s="1"/>
  <c r="J123" i="10"/>
  <c r="BR123" i="10" s="1"/>
  <c r="J114" i="10"/>
  <c r="BR114" i="10" s="1"/>
  <c r="L122" i="10"/>
  <c r="AY122" i="10" s="1"/>
  <c r="B24" i="109"/>
  <c r="L116" i="10"/>
  <c r="AY116" i="10" s="1"/>
  <c r="L125" i="10"/>
  <c r="AY125" i="10" s="1"/>
  <c r="J124" i="10"/>
  <c r="BR124" i="10" s="1"/>
  <c r="J117" i="10"/>
  <c r="BR117" i="10" s="1"/>
  <c r="H52" i="99"/>
  <c r="H56" i="99"/>
  <c r="H50" i="99"/>
  <c r="H55" i="99"/>
  <c r="H54" i="99"/>
  <c r="H51" i="99"/>
  <c r="H61" i="99"/>
  <c r="H67" i="99"/>
  <c r="H68" i="99"/>
  <c r="H64" i="99"/>
  <c r="H63" i="99"/>
  <c r="H66" i="99"/>
  <c r="H65" i="99"/>
  <c r="H62" i="99"/>
  <c r="B23" i="110"/>
  <c r="B24" i="110"/>
  <c r="B23" i="103"/>
  <c r="B24" i="108"/>
  <c r="B23" i="108"/>
  <c r="B25" i="103"/>
  <c r="N124" i="10" s="1"/>
  <c r="S124" i="10" s="1"/>
  <c r="B25" i="108"/>
  <c r="B25" i="110"/>
  <c r="B22" i="105"/>
  <c r="B24" i="102"/>
  <c r="B23" i="102"/>
  <c r="B25" i="102"/>
  <c r="N123" i="10" s="1"/>
  <c r="S123" i="10" s="1"/>
  <c r="B23" i="104"/>
  <c r="B23" i="109"/>
  <c r="B25" i="104"/>
  <c r="B23" i="100"/>
  <c r="B24" i="100"/>
  <c r="B25" i="100"/>
  <c r="L11" i="7"/>
  <c r="K11" i="7"/>
  <c r="L16" i="6"/>
  <c r="M16" i="5"/>
  <c r="L16" i="16"/>
  <c r="K15" i="15"/>
  <c r="B25" i="19"/>
  <c r="P9" i="78"/>
  <c r="I13" i="20"/>
  <c r="Q11" i="21"/>
  <c r="Q11" i="22"/>
  <c r="Q11" i="69"/>
  <c r="Q11" i="24"/>
  <c r="P11" i="21"/>
  <c r="P11" i="22"/>
  <c r="P11" i="69"/>
  <c r="P11" i="24"/>
  <c r="I21" i="25"/>
  <c r="L14" i="26"/>
  <c r="K14" i="94"/>
  <c r="Q14" i="27"/>
  <c r="Q14" i="28"/>
  <c r="N11" i="29"/>
  <c r="N11" i="31"/>
  <c r="N10" i="32"/>
  <c r="N11" i="33"/>
  <c r="N11" i="34"/>
  <c r="V11" i="35"/>
  <c r="K15" i="38"/>
  <c r="M18" i="39"/>
  <c r="L18" i="39"/>
  <c r="M18" i="40"/>
  <c r="L18" i="40"/>
  <c r="I20" i="41"/>
  <c r="H20" i="41"/>
  <c r="L17" i="42"/>
  <c r="N17" i="42"/>
  <c r="H17" i="43"/>
  <c r="O14" i="44"/>
  <c r="N14" i="44"/>
  <c r="K14" i="45"/>
  <c r="L15" i="46"/>
  <c r="L14" i="54"/>
  <c r="O14" i="54"/>
  <c r="O14" i="55"/>
  <c r="L14" i="55"/>
  <c r="L14" i="57"/>
  <c r="H18" i="75"/>
  <c r="H18" i="83"/>
  <c r="H18" i="84"/>
  <c r="H18" i="85"/>
  <c r="K14" i="74"/>
  <c r="J14" i="93"/>
  <c r="J15" i="72"/>
  <c r="O123" i="51" l="1"/>
  <c r="AL123" i="50"/>
  <c r="AW123" i="50"/>
  <c r="AL117" i="50"/>
  <c r="AW117" i="50"/>
  <c r="AY135" i="10"/>
  <c r="BR135" i="10"/>
  <c r="T135" i="10"/>
  <c r="AI117" i="10"/>
  <c r="AI113" i="10"/>
  <c r="AI124" i="10"/>
  <c r="AI112" i="10"/>
  <c r="AI123" i="10"/>
  <c r="AI114" i="10"/>
  <c r="O117" i="51"/>
  <c r="M117" i="50"/>
  <c r="M117" i="51"/>
  <c r="M122" i="50"/>
  <c r="M122" i="51"/>
  <c r="M123" i="50"/>
  <c r="M123" i="51"/>
  <c r="M125" i="50"/>
  <c r="M125" i="51"/>
  <c r="M116" i="50"/>
  <c r="M116" i="51"/>
  <c r="L124" i="51"/>
  <c r="L124" i="50"/>
  <c r="L110" i="50"/>
  <c r="L110" i="51"/>
  <c r="M114" i="50"/>
  <c r="M114" i="51"/>
  <c r="L123" i="50"/>
  <c r="L123" i="51"/>
  <c r="L122" i="50"/>
  <c r="L122" i="51"/>
  <c r="L114" i="50"/>
  <c r="L114" i="51"/>
  <c r="L125" i="50"/>
  <c r="L125" i="51"/>
  <c r="L111" i="51"/>
  <c r="L111" i="50"/>
  <c r="M113" i="50"/>
  <c r="M113" i="51"/>
  <c r="M117" i="10"/>
  <c r="B24" i="104"/>
  <c r="L112" i="50"/>
  <c r="L112" i="51"/>
  <c r="L110" i="10"/>
  <c r="AY110" i="10" s="1"/>
  <c r="L116" i="51"/>
  <c r="L116" i="50"/>
  <c r="R122" i="51"/>
  <c r="S122" i="51"/>
  <c r="S125" i="51"/>
  <c r="R125" i="51"/>
  <c r="R117" i="10"/>
  <c r="O124" i="10"/>
  <c r="R124" i="10"/>
  <c r="R113" i="51"/>
  <c r="S113" i="51"/>
  <c r="O114" i="50"/>
  <c r="R114" i="50"/>
  <c r="R115" i="51"/>
  <c r="S115" i="51"/>
  <c r="R111" i="10"/>
  <c r="O123" i="10"/>
  <c r="R123" i="10"/>
  <c r="R120" i="51"/>
  <c r="S120" i="51"/>
  <c r="O119" i="51"/>
  <c r="S119" i="51"/>
  <c r="R119" i="51"/>
  <c r="O114" i="51"/>
  <c r="R114" i="51"/>
  <c r="S114" i="51"/>
  <c r="R112" i="51"/>
  <c r="S112" i="51"/>
  <c r="R112" i="10"/>
  <c r="R115" i="50"/>
  <c r="R120" i="50"/>
  <c r="O116" i="10"/>
  <c r="R116" i="10"/>
  <c r="R113" i="10"/>
  <c r="T111" i="51"/>
  <c r="T127" i="51" s="1"/>
  <c r="R111" i="51"/>
  <c r="O113" i="51"/>
  <c r="O115" i="51"/>
  <c r="O120" i="50"/>
  <c r="O112" i="10"/>
  <c r="O115" i="50"/>
  <c r="M114" i="10"/>
  <c r="B24" i="101"/>
  <c r="L111" i="10"/>
  <c r="F39" i="99"/>
  <c r="O117" i="10"/>
  <c r="M123" i="10"/>
  <c r="N110" i="10"/>
  <c r="S110" i="10" s="1"/>
  <c r="M125" i="10"/>
  <c r="L124" i="10"/>
  <c r="AY124" i="10" s="1"/>
  <c r="N122" i="10"/>
  <c r="S122" i="10" s="1"/>
  <c r="N125" i="10"/>
  <c r="S125" i="10" s="1"/>
  <c r="B24" i="103"/>
  <c r="O120" i="51"/>
  <c r="O112" i="51"/>
  <c r="L112" i="10"/>
  <c r="AY112" i="10" s="1"/>
  <c r="M122" i="10"/>
  <c r="B23" i="101"/>
  <c r="N114" i="10"/>
  <c r="S114" i="10" s="1"/>
  <c r="M116" i="10"/>
  <c r="O113" i="10"/>
  <c r="L123" i="10"/>
  <c r="AY123" i="10" s="1"/>
  <c r="B23" i="105"/>
  <c r="B24" i="105"/>
  <c r="AW127" i="50" l="1"/>
  <c r="AL127" i="50"/>
  <c r="D27" i="99" s="1"/>
  <c r="E27" i="99" s="1"/>
  <c r="S135" i="10"/>
  <c r="AI135" i="10"/>
  <c r="D15" i="99" s="1"/>
  <c r="D22" i="99" s="1"/>
  <c r="D4" i="99"/>
  <c r="AZ111" i="10"/>
  <c r="F15" i="99"/>
  <c r="M110" i="50"/>
  <c r="M110" i="51"/>
  <c r="M124" i="50"/>
  <c r="M124" i="51"/>
  <c r="M110" i="10"/>
  <c r="M111" i="50"/>
  <c r="M111" i="51"/>
  <c r="M112" i="50"/>
  <c r="M112" i="51"/>
  <c r="O114" i="10"/>
  <c r="R114" i="10"/>
  <c r="R117" i="50"/>
  <c r="R126" i="50"/>
  <c r="O116" i="51"/>
  <c r="S116" i="51"/>
  <c r="R116" i="51"/>
  <c r="R117" i="51"/>
  <c r="S117" i="51"/>
  <c r="R122" i="10"/>
  <c r="S126" i="51"/>
  <c r="R126" i="51"/>
  <c r="R110" i="50"/>
  <c r="R110" i="10"/>
  <c r="O116" i="50"/>
  <c r="R116" i="50"/>
  <c r="R125" i="10"/>
  <c r="S110" i="51"/>
  <c r="R110" i="51"/>
  <c r="F38" i="99"/>
  <c r="F45" i="99" s="1"/>
  <c r="D38" i="99"/>
  <c r="D45" i="99" s="1"/>
  <c r="M124" i="10"/>
  <c r="M111" i="10"/>
  <c r="G39" i="99"/>
  <c r="M112" i="10"/>
  <c r="R135" i="10" l="1"/>
  <c r="AZ135" i="10"/>
  <c r="F16" i="99" s="1"/>
  <c r="S127" i="51"/>
  <c r="R127" i="50"/>
  <c r="R127" i="51"/>
  <c r="B19" i="79"/>
  <c r="B17" i="120"/>
  <c r="G15" i="99"/>
  <c r="D33" i="99"/>
  <c r="E4" i="99"/>
  <c r="D10" i="99"/>
  <c r="F61" i="99"/>
  <c r="G45" i="99"/>
  <c r="G38" i="99"/>
  <c r="D50" i="99"/>
  <c r="E50" i="99" s="1"/>
  <c r="D61" i="99"/>
  <c r="D68" i="99" s="1"/>
  <c r="F27" i="99"/>
  <c r="F33" i="99" s="1"/>
  <c r="E33" i="99"/>
  <c r="B67" i="47"/>
  <c r="B66" i="47"/>
  <c r="B65" i="47"/>
  <c r="B64" i="47"/>
  <c r="B63" i="47"/>
  <c r="B62" i="47"/>
  <c r="B61" i="47"/>
  <c r="B55" i="47"/>
  <c r="B54" i="47"/>
  <c r="B53" i="47"/>
  <c r="B52" i="47"/>
  <c r="B51" i="47"/>
  <c r="G16" i="99" l="1"/>
  <c r="F62" i="99"/>
  <c r="G62" i="99" s="1"/>
  <c r="F22" i="99"/>
  <c r="G22" i="99" s="1"/>
  <c r="H34" i="50"/>
  <c r="H34" i="51"/>
  <c r="B18" i="120"/>
  <c r="H34" i="10"/>
  <c r="B23" i="120"/>
  <c r="F4" i="99"/>
  <c r="F10" i="99" s="1"/>
  <c r="E10" i="99"/>
  <c r="G61" i="99"/>
  <c r="D56" i="99"/>
  <c r="F50" i="99"/>
  <c r="F56" i="99" s="1"/>
  <c r="E56" i="99"/>
  <c r="D12" i="53"/>
  <c r="D12" i="52"/>
  <c r="D12" i="2"/>
  <c r="F68" i="99" l="1"/>
  <c r="G68" i="99" s="1"/>
  <c r="AC34" i="10"/>
  <c r="BI34" i="10"/>
  <c r="BH34" i="10"/>
  <c r="AF34" i="10"/>
  <c r="B24" i="120"/>
  <c r="M34" i="10" s="1"/>
  <c r="J34" i="50"/>
  <c r="J34" i="51"/>
  <c r="J34" i="10"/>
  <c r="AK34" i="10" l="1"/>
  <c r="BP34" i="10"/>
  <c r="AN34" i="10"/>
  <c r="BO34" i="10"/>
  <c r="M34" i="51"/>
  <c r="M34" i="50"/>
  <c r="O34" i="10"/>
  <c r="G26" i="21" l="1"/>
  <c r="C4" i="2" l="1"/>
  <c r="G14" i="93"/>
  <c r="G14" i="73"/>
  <c r="G14" i="74"/>
  <c r="G14" i="85"/>
  <c r="G14" i="84"/>
  <c r="G14" i="83"/>
  <c r="G14" i="57"/>
  <c r="H18" i="57" s="1"/>
  <c r="G14" i="56"/>
  <c r="B27" i="144" l="1"/>
  <c r="B27" i="142"/>
  <c r="B27" i="141"/>
  <c r="B27" i="135"/>
  <c r="B27" i="134"/>
  <c r="B27" i="136"/>
  <c r="B27" i="137"/>
  <c r="B27" i="131"/>
  <c r="B27" i="132"/>
  <c r="B27" i="133"/>
  <c r="B27" i="138"/>
  <c r="B27" i="130"/>
  <c r="B27" i="129"/>
  <c r="B27" i="125"/>
  <c r="B27" i="124"/>
  <c r="B27" i="17"/>
  <c r="B27" i="123"/>
  <c r="B27" i="120"/>
  <c r="B27" i="121"/>
  <c r="C5" i="2"/>
  <c r="B27" i="117"/>
  <c r="B27" i="114"/>
  <c r="B27" i="107"/>
  <c r="B27" i="113"/>
  <c r="B27" i="115"/>
  <c r="B27" i="111"/>
  <c r="B27" i="106"/>
  <c r="B27" i="112"/>
  <c r="B27" i="105"/>
  <c r="B27" i="109"/>
  <c r="B27" i="101"/>
  <c r="B27" i="102"/>
  <c r="B27" i="103"/>
  <c r="B27" i="104"/>
  <c r="B27" i="110"/>
  <c r="B27" i="108"/>
  <c r="B27" i="100"/>
  <c r="G15" i="46"/>
  <c r="G14" i="45"/>
  <c r="G17" i="44"/>
  <c r="L14" i="95"/>
  <c r="L13" i="95"/>
  <c r="K14" i="95"/>
  <c r="K13" i="95"/>
  <c r="J14" i="95"/>
  <c r="J13" i="95"/>
  <c r="I14" i="95"/>
  <c r="I13" i="95"/>
  <c r="H14" i="95"/>
  <c r="H13" i="95"/>
  <c r="G14" i="95"/>
  <c r="G13" i="95"/>
  <c r="L14" i="42"/>
  <c r="L13" i="42"/>
  <c r="K14" i="42"/>
  <c r="K13" i="42"/>
  <c r="J14" i="42"/>
  <c r="J13" i="42"/>
  <c r="I14" i="42"/>
  <c r="I13" i="42"/>
  <c r="H14" i="42"/>
  <c r="H13" i="42"/>
  <c r="G14" i="42"/>
  <c r="G13" i="42"/>
  <c r="G14" i="41"/>
  <c r="G13" i="41"/>
  <c r="H17" i="41"/>
  <c r="G17" i="41"/>
  <c r="I16" i="40"/>
  <c r="H16" i="40"/>
  <c r="G16" i="40"/>
  <c r="G16" i="39"/>
  <c r="B17" i="39" s="1"/>
  <c r="B18" i="39" s="1"/>
  <c r="I16" i="39"/>
  <c r="H16" i="39"/>
  <c r="B20" i="39" l="1"/>
  <c r="B19" i="39" s="1"/>
  <c r="K18" i="39"/>
  <c r="J18" i="39"/>
  <c r="B20" i="40"/>
  <c r="J18" i="40"/>
  <c r="K18" i="40"/>
  <c r="I17" i="41"/>
  <c r="G17" i="42"/>
  <c r="J17" i="41"/>
  <c r="I17" i="42"/>
  <c r="N11" i="35"/>
  <c r="T11" i="34"/>
  <c r="I15" i="34" s="1"/>
  <c r="I18" i="34" s="1"/>
  <c r="B20" i="34"/>
  <c r="P11" i="31"/>
  <c r="I15" i="31" s="1"/>
  <c r="I18" i="31" s="1"/>
  <c r="B20" i="31"/>
  <c r="I14" i="28"/>
  <c r="H14" i="28"/>
  <c r="N14" i="28"/>
  <c r="I14" i="27"/>
  <c r="H14" i="27"/>
  <c r="N14" i="27"/>
  <c r="N52" i="50"/>
  <c r="B18" i="25"/>
  <c r="L96" i="51" l="1"/>
  <c r="B21" i="39"/>
  <c r="B22" i="39"/>
  <c r="B24" i="39" s="1"/>
  <c r="B25" i="39"/>
  <c r="L96" i="50"/>
  <c r="B18" i="34"/>
  <c r="B18" i="31"/>
  <c r="J52" i="51"/>
  <c r="AL52" i="50" s="1"/>
  <c r="J52" i="50"/>
  <c r="H52" i="51"/>
  <c r="AE52" i="50" s="1"/>
  <c r="H52" i="50"/>
  <c r="B25" i="31"/>
  <c r="B22" i="31"/>
  <c r="B25" i="34"/>
  <c r="B22" i="34"/>
  <c r="B17" i="31"/>
  <c r="B17" i="34"/>
  <c r="J14" i="28"/>
  <c r="J14" i="27"/>
  <c r="K14" i="27" s="1"/>
  <c r="B19" i="27" s="1"/>
  <c r="B21" i="34"/>
  <c r="B21" i="31"/>
  <c r="B18" i="24"/>
  <c r="B17" i="69"/>
  <c r="B17" i="24"/>
  <c r="B17" i="22"/>
  <c r="I14" i="69"/>
  <c r="S11" i="69" s="1"/>
  <c r="H14" i="69"/>
  <c r="S10" i="69" s="1"/>
  <c r="I14" i="24"/>
  <c r="S11" i="24" s="1"/>
  <c r="H14" i="24"/>
  <c r="S10" i="24" s="1"/>
  <c r="I14" i="22"/>
  <c r="S11" i="22" s="1"/>
  <c r="H14" i="22"/>
  <c r="S10" i="22" s="1"/>
  <c r="B17" i="21"/>
  <c r="B23" i="39" l="1"/>
  <c r="BC52" i="50"/>
  <c r="AU52" i="50"/>
  <c r="K14" i="28"/>
  <c r="B24" i="31"/>
  <c r="M86" i="51" s="1"/>
  <c r="K89" i="51"/>
  <c r="BI89" i="50" s="1"/>
  <c r="K89" i="50"/>
  <c r="L89" i="51"/>
  <c r="BQ89" i="50" s="1"/>
  <c r="L89" i="50"/>
  <c r="H89" i="51"/>
  <c r="H89" i="50"/>
  <c r="J89" i="51"/>
  <c r="J89" i="50"/>
  <c r="B23" i="31"/>
  <c r="L86" i="51"/>
  <c r="BS86" i="50" s="1"/>
  <c r="L86" i="50"/>
  <c r="H86" i="51"/>
  <c r="AE86" i="50" s="1"/>
  <c r="H86" i="50"/>
  <c r="K86" i="50"/>
  <c r="K86" i="51"/>
  <c r="BK86" i="50" s="1"/>
  <c r="J86" i="51"/>
  <c r="AL86" i="50" s="1"/>
  <c r="J86" i="50"/>
  <c r="B18" i="69"/>
  <c r="H41" i="51"/>
  <c r="H41" i="50"/>
  <c r="J42" i="51"/>
  <c r="J42" i="50"/>
  <c r="B18" i="22"/>
  <c r="H40" i="50"/>
  <c r="H40" i="51"/>
  <c r="H42" i="50"/>
  <c r="H42" i="51"/>
  <c r="B18" i="21"/>
  <c r="H39" i="50"/>
  <c r="H39" i="51"/>
  <c r="B24" i="34"/>
  <c r="U12" i="69"/>
  <c r="J14" i="24"/>
  <c r="K14" i="24" s="1"/>
  <c r="B19" i="24" s="1"/>
  <c r="B23" i="34"/>
  <c r="O14" i="28"/>
  <c r="O14" i="27"/>
  <c r="J14" i="22"/>
  <c r="K14" i="22" s="1"/>
  <c r="B19" i="22" s="1"/>
  <c r="J14" i="69"/>
  <c r="K14" i="69" s="1"/>
  <c r="B19" i="69" s="1"/>
  <c r="B19" i="20"/>
  <c r="B21" i="20" s="1"/>
  <c r="M86" i="50" l="1"/>
  <c r="AR41" i="50"/>
  <c r="AC41" i="50"/>
  <c r="AR39" i="50"/>
  <c r="AC39" i="50"/>
  <c r="AF89" i="50"/>
  <c r="AS89" i="50"/>
  <c r="AC40" i="50"/>
  <c r="AR40" i="50"/>
  <c r="AJ42" i="50"/>
  <c r="AZ42" i="50"/>
  <c r="AM89" i="50"/>
  <c r="BA89" i="50"/>
  <c r="AR42" i="50"/>
  <c r="AC42" i="50"/>
  <c r="BC86" i="50"/>
  <c r="AU86" i="50"/>
  <c r="K109" i="50"/>
  <c r="K109" i="51"/>
  <c r="BE109" i="50" s="1"/>
  <c r="M89" i="51"/>
  <c r="M89" i="50"/>
  <c r="J40" i="51"/>
  <c r="J40" i="50"/>
  <c r="J41" i="50"/>
  <c r="J41" i="51"/>
  <c r="J39" i="50"/>
  <c r="J39" i="51"/>
  <c r="S12" i="69"/>
  <c r="T12" i="69" s="1"/>
  <c r="P13" i="69" s="1"/>
  <c r="U12" i="22"/>
  <c r="S12" i="22"/>
  <c r="U12" i="24"/>
  <c r="S12" i="24"/>
  <c r="B20" i="78"/>
  <c r="B21" i="78" s="1"/>
  <c r="G13" i="77"/>
  <c r="G12" i="77"/>
  <c r="AJ40" i="50" l="1"/>
  <c r="AZ40" i="50"/>
  <c r="AZ39" i="50"/>
  <c r="AJ39" i="50"/>
  <c r="AJ41" i="50"/>
  <c r="AZ41" i="50"/>
  <c r="K103" i="50"/>
  <c r="K103" i="51"/>
  <c r="BE103" i="50" s="1"/>
  <c r="H36" i="51"/>
  <c r="H36" i="50"/>
  <c r="K38" i="50"/>
  <c r="K38" i="51"/>
  <c r="K36" i="50"/>
  <c r="K36" i="51"/>
  <c r="J35" i="50"/>
  <c r="J35" i="51"/>
  <c r="H35" i="50"/>
  <c r="H35" i="51"/>
  <c r="B19" i="78"/>
  <c r="B25" i="78" s="1"/>
  <c r="G16" i="30"/>
  <c r="H16" i="30" s="1"/>
  <c r="B20" i="30" s="1"/>
  <c r="B22" i="30" s="1"/>
  <c r="T12" i="22"/>
  <c r="P13" i="22" s="1"/>
  <c r="B25" i="22" s="1"/>
  <c r="B25" i="69"/>
  <c r="T12" i="24"/>
  <c r="P13" i="24" s="1"/>
  <c r="B25" i="24" s="1"/>
  <c r="B17" i="78"/>
  <c r="B18" i="78"/>
  <c r="B22" i="78"/>
  <c r="B22" i="77"/>
  <c r="B22" i="76"/>
  <c r="B22" i="18"/>
  <c r="H103" i="51" l="1"/>
  <c r="AE103" i="50" s="1"/>
  <c r="H103" i="50"/>
  <c r="J103" i="51"/>
  <c r="AL103" i="50" s="1"/>
  <c r="J103" i="50"/>
  <c r="L103" i="51"/>
  <c r="BM103" i="50" s="1"/>
  <c r="L103" i="50"/>
  <c r="L84" i="50"/>
  <c r="L84" i="51"/>
  <c r="L36" i="51"/>
  <c r="L36" i="50"/>
  <c r="K37" i="50"/>
  <c r="K37" i="51"/>
  <c r="BI37" i="50" s="1"/>
  <c r="B24" i="18"/>
  <c r="J38" i="50"/>
  <c r="J38" i="51"/>
  <c r="J36" i="50"/>
  <c r="J36" i="51"/>
  <c r="L37" i="51"/>
  <c r="BQ37" i="50" s="1"/>
  <c r="L37" i="50"/>
  <c r="H38" i="51"/>
  <c r="H38" i="50"/>
  <c r="L38" i="51"/>
  <c r="L38" i="50"/>
  <c r="K35" i="50"/>
  <c r="K35" i="51"/>
  <c r="B23" i="76"/>
  <c r="B17" i="30"/>
  <c r="B24" i="78"/>
  <c r="B23" i="78"/>
  <c r="B24" i="77"/>
  <c r="B23" i="77"/>
  <c r="B24" i="76"/>
  <c r="B23" i="18"/>
  <c r="B21" i="30"/>
  <c r="B25" i="30"/>
  <c r="AW103" i="50" l="1"/>
  <c r="AO103" i="50"/>
  <c r="M103" i="51"/>
  <c r="M103" i="50"/>
  <c r="K84" i="50"/>
  <c r="K84" i="51"/>
  <c r="H84" i="50"/>
  <c r="H84" i="51"/>
  <c r="M38" i="51"/>
  <c r="M38" i="50"/>
  <c r="M37" i="51"/>
  <c r="M37" i="50"/>
  <c r="M36" i="51"/>
  <c r="M36" i="50"/>
  <c r="B23" i="30"/>
  <c r="B24" i="30"/>
  <c r="B26" i="30"/>
  <c r="B27" i="30"/>
  <c r="M84" i="50" l="1"/>
  <c r="M84" i="51"/>
  <c r="B18" i="16"/>
  <c r="J83" i="51" l="1"/>
  <c r="J83" i="50"/>
  <c r="G16" i="16"/>
  <c r="G15" i="38"/>
  <c r="B18" i="38" s="1"/>
  <c r="B18" i="11"/>
  <c r="B18" i="13"/>
  <c r="B17" i="13"/>
  <c r="B18" i="12"/>
  <c r="B17" i="12"/>
  <c r="B18" i="82"/>
  <c r="B17" i="82"/>
  <c r="B18" i="88"/>
  <c r="B17" i="88"/>
  <c r="B18" i="81"/>
  <c r="B17" i="81"/>
  <c r="B18" i="14"/>
  <c r="B17" i="14"/>
  <c r="B18" i="92"/>
  <c r="B17" i="92"/>
  <c r="B18" i="7"/>
  <c r="L14" i="7"/>
  <c r="L13" i="7"/>
  <c r="K14" i="7"/>
  <c r="K13" i="7"/>
  <c r="J14" i="7"/>
  <c r="J13" i="7"/>
  <c r="I14" i="7"/>
  <c r="I13" i="7"/>
  <c r="H14" i="7"/>
  <c r="H13" i="7"/>
  <c r="G14" i="7"/>
  <c r="B18" i="6"/>
  <c r="B17" i="6"/>
  <c r="B18" i="5"/>
  <c r="B17" i="5"/>
  <c r="B18" i="1"/>
  <c r="B17" i="1"/>
  <c r="B18" i="48"/>
  <c r="B17" i="48"/>
  <c r="B18" i="87"/>
  <c r="B17" i="87"/>
  <c r="B18" i="3"/>
  <c r="B17" i="3"/>
  <c r="J102" i="51" l="1"/>
  <c r="J102" i="50"/>
  <c r="J32" i="51"/>
  <c r="AL32" i="50" s="1"/>
  <c r="J32" i="50"/>
  <c r="H32" i="50"/>
  <c r="H32" i="51"/>
  <c r="AE32" i="50" s="1"/>
  <c r="H31" i="51"/>
  <c r="AE31" i="50" s="1"/>
  <c r="H31" i="50"/>
  <c r="J31" i="51"/>
  <c r="AL31" i="50" s="1"/>
  <c r="J31" i="50"/>
  <c r="J21" i="51"/>
  <c r="J21" i="50"/>
  <c r="H21" i="50"/>
  <c r="H21" i="51"/>
  <c r="J20" i="51"/>
  <c r="AL20" i="50" s="1"/>
  <c r="J20" i="50"/>
  <c r="H20" i="51"/>
  <c r="AE20" i="50" s="1"/>
  <c r="H20" i="50"/>
  <c r="J19" i="50"/>
  <c r="J19" i="51"/>
  <c r="AL19" i="50" s="1"/>
  <c r="H19" i="51"/>
  <c r="AE19" i="50" s="1"/>
  <c r="H19" i="50"/>
  <c r="J18" i="50"/>
  <c r="J18" i="51"/>
  <c r="AL18" i="50" s="1"/>
  <c r="H18" i="50"/>
  <c r="H18" i="51"/>
  <c r="AE18" i="50" s="1"/>
  <c r="J17" i="51"/>
  <c r="AL17" i="50" s="1"/>
  <c r="J17" i="50"/>
  <c r="H17" i="51"/>
  <c r="AE17" i="50" s="1"/>
  <c r="H17" i="50"/>
  <c r="H16" i="51"/>
  <c r="H16" i="50"/>
  <c r="J16" i="50"/>
  <c r="J16" i="51"/>
  <c r="J15" i="51"/>
  <c r="J15" i="50"/>
  <c r="H15" i="51"/>
  <c r="H15" i="50"/>
  <c r="H14" i="51"/>
  <c r="H14" i="50"/>
  <c r="J14" i="51"/>
  <c r="J14" i="50"/>
  <c r="H7" i="51"/>
  <c r="H7" i="50"/>
  <c r="J7" i="51"/>
  <c r="J7" i="50"/>
  <c r="H6" i="51"/>
  <c r="AE6" i="50" s="1"/>
  <c r="H6" i="50"/>
  <c r="J6" i="51"/>
  <c r="AL6" i="50" s="1"/>
  <c r="J6" i="50"/>
  <c r="H5" i="50"/>
  <c r="H5" i="51"/>
  <c r="AE5" i="50" s="1"/>
  <c r="J5" i="50"/>
  <c r="J5" i="51"/>
  <c r="AL5" i="50" s="1"/>
  <c r="J4" i="50"/>
  <c r="J4" i="51"/>
  <c r="AL4" i="50" s="1"/>
  <c r="H4" i="50"/>
  <c r="H4" i="51"/>
  <c r="AE4" i="50" s="1"/>
  <c r="J3" i="50"/>
  <c r="J3" i="51"/>
  <c r="AL3" i="50" s="1"/>
  <c r="H3" i="51"/>
  <c r="AE3" i="50" s="1"/>
  <c r="H3" i="50"/>
  <c r="I11" i="7"/>
  <c r="J11" i="7"/>
  <c r="AW3" i="50" l="1"/>
  <c r="AW19" i="50"/>
  <c r="AQ6" i="50"/>
  <c r="AU7" i="50"/>
  <c r="AZ15" i="50"/>
  <c r="AJ15" i="50"/>
  <c r="AR16" i="50"/>
  <c r="AC16" i="50"/>
  <c r="AW17" i="50"/>
  <c r="BC20" i="50"/>
  <c r="AO31" i="50"/>
  <c r="AW32" i="50"/>
  <c r="AP5" i="50"/>
  <c r="AU4" i="50"/>
  <c r="AX5" i="50"/>
  <c r="AZ16" i="50"/>
  <c r="AJ16" i="50"/>
  <c r="AO18" i="50"/>
  <c r="AO32" i="50"/>
  <c r="BC4" i="50"/>
  <c r="AW18" i="50"/>
  <c r="AO3" i="50"/>
  <c r="AY6" i="50"/>
  <c r="BC7" i="50"/>
  <c r="AR15" i="50"/>
  <c r="AC15" i="50"/>
  <c r="AO17" i="50"/>
  <c r="AO19" i="50"/>
  <c r="AU20" i="50"/>
  <c r="AW31" i="50"/>
  <c r="AZ102" i="50"/>
  <c r="AJ102" i="50"/>
  <c r="O21" i="51"/>
  <c r="O14" i="51"/>
  <c r="O4" i="51"/>
  <c r="O32" i="51"/>
  <c r="O31" i="51"/>
  <c r="O20" i="51"/>
  <c r="O19" i="51"/>
  <c r="O18" i="51"/>
  <c r="O17" i="51"/>
  <c r="O16" i="51"/>
  <c r="O15" i="51"/>
  <c r="O7" i="51"/>
  <c r="O6" i="51"/>
  <c r="O5" i="51"/>
  <c r="B18" i="86"/>
  <c r="H13" i="51" l="1"/>
  <c r="H13" i="50"/>
  <c r="J13" i="50"/>
  <c r="J13" i="51"/>
  <c r="H2" i="51"/>
  <c r="AE2" i="50" s="1"/>
  <c r="H2" i="50"/>
  <c r="J2" i="51"/>
  <c r="AL2" i="50" s="1"/>
  <c r="J2" i="50"/>
  <c r="N41" i="51"/>
  <c r="N21" i="50"/>
  <c r="S21" i="50" s="1"/>
  <c r="N7" i="50"/>
  <c r="Y7" i="50" s="1"/>
  <c r="N20" i="50"/>
  <c r="N19" i="50"/>
  <c r="O2" i="51" l="1"/>
  <c r="O13" i="51"/>
  <c r="B21" i="41"/>
  <c r="K54" i="50" l="1"/>
  <c r="K54" i="51"/>
  <c r="BF54" i="50" s="1"/>
  <c r="K16" i="6"/>
  <c r="L16" i="5"/>
  <c r="K16" i="5"/>
  <c r="B20" i="15" l="1"/>
  <c r="B25" i="15" s="1"/>
  <c r="B26" i="15" s="1"/>
  <c r="B19" i="15"/>
  <c r="B18" i="15"/>
  <c r="B17" i="15"/>
  <c r="B17" i="16"/>
  <c r="H16" i="16"/>
  <c r="B20" i="16" s="1"/>
  <c r="B27" i="19"/>
  <c r="B22" i="19"/>
  <c r="B21" i="19"/>
  <c r="B20" i="19"/>
  <c r="K98" i="51" l="1"/>
  <c r="K98" i="50"/>
  <c r="L98" i="51"/>
  <c r="L98" i="50"/>
  <c r="H101" i="50"/>
  <c r="H101" i="51"/>
  <c r="J101" i="51"/>
  <c r="J101" i="50"/>
  <c r="H83" i="51"/>
  <c r="H83" i="50"/>
  <c r="B24" i="15"/>
  <c r="B23" i="19"/>
  <c r="B24" i="19"/>
  <c r="B27" i="15"/>
  <c r="B23" i="15"/>
  <c r="B22" i="16"/>
  <c r="B25" i="16"/>
  <c r="B21" i="16"/>
  <c r="M98" i="51" l="1"/>
  <c r="M98" i="50"/>
  <c r="M101" i="50"/>
  <c r="M101" i="51"/>
  <c r="K83" i="50"/>
  <c r="K83" i="51"/>
  <c r="L83" i="50"/>
  <c r="L83" i="51"/>
  <c r="L35" i="50"/>
  <c r="L35" i="51"/>
  <c r="B24" i="16"/>
  <c r="B27" i="16"/>
  <c r="B26" i="16"/>
  <c r="B23" i="16"/>
  <c r="M83" i="50" l="1"/>
  <c r="M83" i="51"/>
  <c r="M35" i="51"/>
  <c r="M35" i="50"/>
  <c r="B20" i="57" l="1"/>
  <c r="B17" i="57"/>
  <c r="B17" i="56"/>
  <c r="B17" i="55"/>
  <c r="I25" i="55"/>
  <c r="I26" i="55" s="1"/>
  <c r="I27" i="55" s="1"/>
  <c r="I28" i="55" s="1"/>
  <c r="K23" i="55"/>
  <c r="K22" i="55"/>
  <c r="B17" i="54"/>
  <c r="I25" i="54"/>
  <c r="I26" i="54" s="1"/>
  <c r="I27" i="54" s="1"/>
  <c r="I28" i="54" s="1"/>
  <c r="B25" i="54" s="1"/>
  <c r="J23" i="54"/>
  <c r="J22" i="54"/>
  <c r="B21" i="75"/>
  <c r="B20" i="75"/>
  <c r="B25" i="75" s="1"/>
  <c r="B18" i="75"/>
  <c r="B17" i="75"/>
  <c r="I18" i="75"/>
  <c r="G18" i="75"/>
  <c r="H73" i="50" l="1"/>
  <c r="H73" i="51"/>
  <c r="AE73" i="50" s="1"/>
  <c r="H72" i="50"/>
  <c r="H72" i="51"/>
  <c r="H70" i="51"/>
  <c r="H70" i="50"/>
  <c r="H69" i="51"/>
  <c r="AE69" i="50" s="1"/>
  <c r="H69" i="50"/>
  <c r="K48" i="50"/>
  <c r="K48" i="51"/>
  <c r="BH48" i="50" s="1"/>
  <c r="H48" i="51"/>
  <c r="H48" i="50"/>
  <c r="J48" i="51"/>
  <c r="J48" i="50"/>
  <c r="B19" i="54"/>
  <c r="B25" i="55"/>
  <c r="B19" i="55"/>
  <c r="B24" i="75"/>
  <c r="B23" i="75"/>
  <c r="AC72" i="50" l="1"/>
  <c r="AT72" i="50"/>
  <c r="AC48" i="50"/>
  <c r="AR48" i="50"/>
  <c r="AT69" i="50"/>
  <c r="AT73" i="50"/>
  <c r="AJ48" i="50"/>
  <c r="AZ48" i="50"/>
  <c r="AT70" i="50"/>
  <c r="AC70" i="50"/>
  <c r="M48" i="51"/>
  <c r="M48" i="50"/>
  <c r="I23" i="54"/>
  <c r="I22" i="54"/>
  <c r="B21" i="54" l="1"/>
  <c r="K69" i="51" l="1"/>
  <c r="BJ69" i="50" s="1"/>
  <c r="K69" i="50"/>
  <c r="B23" i="54"/>
  <c r="B24" i="54"/>
  <c r="M69" i="51" l="1"/>
  <c r="M69" i="50"/>
  <c r="AJ16" i="24"/>
  <c r="AI16" i="24"/>
  <c r="AH17" i="69"/>
  <c r="AG17" i="69"/>
  <c r="AG16" i="22"/>
  <c r="AF16" i="22"/>
  <c r="I14" i="21"/>
  <c r="S11" i="21" s="1"/>
  <c r="H14" i="21"/>
  <c r="S10" i="21" s="1"/>
  <c r="J14" i="21" l="1"/>
  <c r="K14" i="21" s="1"/>
  <c r="B19" i="21" s="1"/>
  <c r="B24" i="20"/>
  <c r="B23" i="20"/>
  <c r="B25" i="20"/>
  <c r="M109" i="50" l="1"/>
  <c r="M109" i="51"/>
  <c r="Q41" i="50"/>
  <c r="Q41" i="51"/>
  <c r="BT41" i="50" s="1"/>
  <c r="Q41" i="10"/>
  <c r="L41" i="10"/>
  <c r="BB41" i="10" s="1"/>
  <c r="F41" i="10"/>
  <c r="D41" i="10"/>
  <c r="C41" i="10"/>
  <c r="AC21" i="22"/>
  <c r="AC20" i="22"/>
  <c r="AD22" i="69"/>
  <c r="AD21" i="69"/>
  <c r="AC14" i="69"/>
  <c r="AC12" i="69" s="1"/>
  <c r="AF21" i="24"/>
  <c r="AF20" i="24"/>
  <c r="AE13" i="24"/>
  <c r="AE11" i="24" s="1"/>
  <c r="AD11" i="24"/>
  <c r="BK41" i="10" l="1"/>
  <c r="BR41" i="10"/>
  <c r="BQ41" i="10"/>
  <c r="BO41" i="10"/>
  <c r="BJ41" i="10"/>
  <c r="BL41" i="10"/>
  <c r="BG41" i="10"/>
  <c r="BH41" i="10"/>
  <c r="BN41" i="10"/>
  <c r="BS41" i="10"/>
  <c r="V41" i="51"/>
  <c r="U41" i="51"/>
  <c r="Y41" i="51"/>
  <c r="T41" i="51"/>
  <c r="W41" i="51"/>
  <c r="X41" i="51"/>
  <c r="S41" i="51"/>
  <c r="R41" i="51"/>
  <c r="N41" i="50"/>
  <c r="V41" i="50" s="1"/>
  <c r="H41" i="10"/>
  <c r="AD41" i="10" s="1"/>
  <c r="S12" i="21"/>
  <c r="AE22" i="22"/>
  <c r="AF23" i="69"/>
  <c r="AF22" i="24"/>
  <c r="U12" i="21"/>
  <c r="AC22" i="22"/>
  <c r="AH22" i="24"/>
  <c r="AD23" i="69"/>
  <c r="B21" i="24"/>
  <c r="BI41" i="10" l="1"/>
  <c r="R41" i="50"/>
  <c r="B23" i="24"/>
  <c r="K42" i="50"/>
  <c r="K42" i="51"/>
  <c r="BH42" i="50" s="1"/>
  <c r="B21" i="69"/>
  <c r="J41" i="10"/>
  <c r="T12" i="21"/>
  <c r="P13" i="21" s="1"/>
  <c r="B25" i="21" s="1"/>
  <c r="AD22" i="22"/>
  <c r="AD16" i="22" s="1"/>
  <c r="AE23" i="69"/>
  <c r="AE17" i="69" s="1"/>
  <c r="N41" i="10" s="1"/>
  <c r="B24" i="24"/>
  <c r="AG22" i="24"/>
  <c r="AG16" i="24" s="1"/>
  <c r="B21" i="22"/>
  <c r="B21" i="21"/>
  <c r="AL41" i="10" l="1"/>
  <c r="BP41" i="10"/>
  <c r="V41" i="10"/>
  <c r="R41" i="10"/>
  <c r="B23" i="22"/>
  <c r="K40" i="50"/>
  <c r="K40" i="51"/>
  <c r="BH40" i="50" s="1"/>
  <c r="B23" i="21"/>
  <c r="K39" i="50"/>
  <c r="K39" i="51"/>
  <c r="BH39" i="50" s="1"/>
  <c r="K41" i="10"/>
  <c r="AT41" i="10" s="1"/>
  <c r="K41" i="50"/>
  <c r="K41" i="51"/>
  <c r="BH41" i="50" s="1"/>
  <c r="M42" i="51"/>
  <c r="M42" i="50"/>
  <c r="B24" i="69"/>
  <c r="B23" i="69"/>
  <c r="O41" i="10"/>
  <c r="B24" i="22"/>
  <c r="B24" i="21"/>
  <c r="M41" i="51" l="1"/>
  <c r="M41" i="50"/>
  <c r="M39" i="51"/>
  <c r="M39" i="50"/>
  <c r="M40" i="51"/>
  <c r="M40" i="50"/>
  <c r="M41" i="10"/>
  <c r="B24" i="12"/>
  <c r="B23" i="12"/>
  <c r="B25" i="7"/>
  <c r="B21" i="7"/>
  <c r="B19" i="7"/>
  <c r="M20" i="50" l="1"/>
  <c r="M20" i="51"/>
  <c r="K4" i="51"/>
  <c r="BK4" i="50" s="1"/>
  <c r="K4" i="50"/>
  <c r="I13" i="10"/>
  <c r="G13" i="10"/>
  <c r="Q56" i="50"/>
  <c r="Q56" i="51"/>
  <c r="BT56" i="50" s="1"/>
  <c r="Q56" i="10"/>
  <c r="L56" i="10"/>
  <c r="BC56" i="10" s="1"/>
  <c r="J56" i="10"/>
  <c r="AM56" i="10" s="1"/>
  <c r="H56" i="10"/>
  <c r="AE56" i="10" s="1"/>
  <c r="F56" i="10"/>
  <c r="D56" i="10"/>
  <c r="C56" i="10"/>
  <c r="B3" i="53"/>
  <c r="C4" i="53" s="1"/>
  <c r="C5" i="53" s="1"/>
  <c r="B3" i="52"/>
  <c r="N56" i="51"/>
  <c r="B17" i="79"/>
  <c r="BR56" i="10" l="1"/>
  <c r="BK56" i="10"/>
  <c r="BJ56" i="10"/>
  <c r="BL56" i="10"/>
  <c r="BI56" i="10"/>
  <c r="BG56" i="10"/>
  <c r="BH56" i="10"/>
  <c r="BO56" i="10"/>
  <c r="BP56" i="10"/>
  <c r="BQ56" i="10"/>
  <c r="BN56" i="10"/>
  <c r="BS56" i="10"/>
  <c r="B18" i="79"/>
  <c r="H33" i="50"/>
  <c r="H33" i="51"/>
  <c r="S56" i="51"/>
  <c r="W56" i="51"/>
  <c r="R56" i="51"/>
  <c r="V56" i="51"/>
  <c r="U56" i="51"/>
  <c r="X56" i="51"/>
  <c r="T56" i="51"/>
  <c r="Y56" i="51"/>
  <c r="C4" i="52"/>
  <c r="C5" i="52" s="1"/>
  <c r="N56" i="10"/>
  <c r="R56" i="10" s="1"/>
  <c r="N56" i="50"/>
  <c r="W56" i="50" s="1"/>
  <c r="G22" i="79"/>
  <c r="B21" i="79" s="1"/>
  <c r="R56" i="50" l="1"/>
  <c r="O56" i="10"/>
  <c r="W56" i="10"/>
  <c r="K33" i="50"/>
  <c r="K33" i="51"/>
  <c r="K56" i="10"/>
  <c r="AU56" i="10" s="1"/>
  <c r="K56" i="50"/>
  <c r="K56" i="51"/>
  <c r="BI56" i="50" s="1"/>
  <c r="J33" i="50"/>
  <c r="J33" i="51"/>
  <c r="C6" i="52"/>
  <c r="M56" i="50" l="1"/>
  <c r="M56" i="51"/>
  <c r="M56" i="10"/>
  <c r="Q42" i="50" l="1"/>
  <c r="Q42" i="51"/>
  <c r="BT42" i="50" s="1"/>
  <c r="Q42" i="10"/>
  <c r="B20" i="35"/>
  <c r="B22" i="35" s="1"/>
  <c r="B17" i="35"/>
  <c r="L92" i="50" l="1"/>
  <c r="L92" i="51"/>
  <c r="BO92" i="50" s="1"/>
  <c r="H92" i="50"/>
  <c r="H92" i="51"/>
  <c r="B25" i="35"/>
  <c r="B21" i="35"/>
  <c r="B18" i="35"/>
  <c r="AQ92" i="50" l="1"/>
  <c r="AB92" i="50"/>
  <c r="J92" i="51"/>
  <c r="J92" i="50"/>
  <c r="B23" i="35"/>
  <c r="K92" i="50"/>
  <c r="K92" i="51"/>
  <c r="BG92" i="50" s="1"/>
  <c r="B24" i="35"/>
  <c r="B17" i="72"/>
  <c r="H91" i="10" s="1"/>
  <c r="H19" i="72"/>
  <c r="I19" i="72" s="1"/>
  <c r="I15" i="72" s="1"/>
  <c r="B20" i="72" s="1"/>
  <c r="B17" i="93"/>
  <c r="B20" i="93"/>
  <c r="B21" i="93"/>
  <c r="B25" i="73"/>
  <c r="B27" i="73" s="1"/>
  <c r="B17" i="73"/>
  <c r="B17" i="74"/>
  <c r="I17" i="74"/>
  <c r="J17" i="74" s="1"/>
  <c r="I14" i="74"/>
  <c r="J14" i="74" s="1"/>
  <c r="B20" i="74" s="1"/>
  <c r="B20" i="85"/>
  <c r="B18" i="85"/>
  <c r="B17" i="85"/>
  <c r="K18" i="85"/>
  <c r="G18" i="85"/>
  <c r="B20" i="84"/>
  <c r="B21" i="84" s="1"/>
  <c r="B17" i="84"/>
  <c r="K18" i="84"/>
  <c r="G18" i="84"/>
  <c r="B20" i="83"/>
  <c r="N49" i="51" s="1"/>
  <c r="B17" i="83"/>
  <c r="K18" i="83"/>
  <c r="G18" i="83"/>
  <c r="H48" i="10"/>
  <c r="AD48" i="10" s="1"/>
  <c r="I18" i="57"/>
  <c r="B21" i="46"/>
  <c r="H19" i="46"/>
  <c r="H20" i="46" s="1"/>
  <c r="B19" i="46" s="1"/>
  <c r="B17" i="45"/>
  <c r="N14" i="45"/>
  <c r="B21" i="45" s="1"/>
  <c r="B17" i="44"/>
  <c r="H95" i="10" s="1"/>
  <c r="G14" i="44"/>
  <c r="B20" i="44" s="1"/>
  <c r="B18" i="43"/>
  <c r="B17" i="43"/>
  <c r="H47" i="10" s="1"/>
  <c r="AD47" i="10" s="1"/>
  <c r="G17" i="43"/>
  <c r="N55" i="10"/>
  <c r="U55" i="10" s="1"/>
  <c r="B20" i="42"/>
  <c r="B21" i="42"/>
  <c r="B25" i="41"/>
  <c r="N54" i="10" s="1"/>
  <c r="B20" i="41"/>
  <c r="N54" i="51" s="1"/>
  <c r="B19" i="41"/>
  <c r="N54" i="50" s="1"/>
  <c r="B17" i="41"/>
  <c r="K20" i="41"/>
  <c r="H29" i="39"/>
  <c r="H27" i="39"/>
  <c r="H26" i="39"/>
  <c r="F20" i="38"/>
  <c r="B20" i="38"/>
  <c r="F19" i="38"/>
  <c r="B19" i="38"/>
  <c r="B21" i="38" s="1"/>
  <c r="B17" i="38"/>
  <c r="I20" i="34"/>
  <c r="B25" i="33"/>
  <c r="N88" i="10" s="1"/>
  <c r="B20" i="33"/>
  <c r="B22" i="33" s="1"/>
  <c r="K11" i="33"/>
  <c r="B17" i="33" s="1"/>
  <c r="B25" i="32"/>
  <c r="N87" i="10" s="1"/>
  <c r="B20" i="32"/>
  <c r="B21" i="32" s="1"/>
  <c r="K10" i="32"/>
  <c r="B17" i="32" s="1"/>
  <c r="N86" i="10"/>
  <c r="I20" i="31"/>
  <c r="B20" i="29"/>
  <c r="B22" i="29" s="1"/>
  <c r="P11" i="29"/>
  <c r="I15" i="29" s="1"/>
  <c r="I18" i="29" s="1"/>
  <c r="B18" i="29" s="1"/>
  <c r="B18" i="28"/>
  <c r="B17" i="28"/>
  <c r="B17" i="27"/>
  <c r="B20" i="94"/>
  <c r="N44" i="51" s="1"/>
  <c r="B19" i="94"/>
  <c r="B21" i="94" s="1"/>
  <c r="B17" i="94"/>
  <c r="B20" i="26"/>
  <c r="B19" i="26"/>
  <c r="B21" i="26" s="1"/>
  <c r="B17" i="26"/>
  <c r="N52" i="51"/>
  <c r="B21" i="25"/>
  <c r="H39" i="10"/>
  <c r="AD39" i="10" s="1"/>
  <c r="N39" i="50"/>
  <c r="V39" i="50" s="1"/>
  <c r="N109" i="10"/>
  <c r="B23" i="79"/>
  <c r="J33" i="10"/>
  <c r="M38" i="10"/>
  <c r="N98" i="10"/>
  <c r="S98" i="10" s="1"/>
  <c r="N83" i="10"/>
  <c r="V83" i="10" s="1"/>
  <c r="B24" i="11"/>
  <c r="B23" i="11"/>
  <c r="B25" i="13"/>
  <c r="B24" i="13"/>
  <c r="B23" i="13"/>
  <c r="B25" i="88"/>
  <c r="N19" i="10" s="1"/>
  <c r="B24" i="88"/>
  <c r="B23" i="88"/>
  <c r="I22" i="88"/>
  <c r="J22" i="88" s="1"/>
  <c r="B24" i="82"/>
  <c r="B23" i="82"/>
  <c r="B24" i="81"/>
  <c r="B23" i="81"/>
  <c r="B24" i="14"/>
  <c r="B23" i="14"/>
  <c r="B25" i="92"/>
  <c r="B24" i="92"/>
  <c r="M17" i="10" s="1"/>
  <c r="B23" i="92"/>
  <c r="B23" i="7"/>
  <c r="B24" i="7"/>
  <c r="H17" i="6"/>
  <c r="B19" i="6" s="1"/>
  <c r="B21" i="6" s="1"/>
  <c r="L19" i="5"/>
  <c r="L18" i="5"/>
  <c r="H17" i="5"/>
  <c r="B19" i="5" s="1"/>
  <c r="B25" i="1"/>
  <c r="N32" i="10" s="1"/>
  <c r="B24" i="1"/>
  <c r="B22" i="1"/>
  <c r="B24" i="48"/>
  <c r="B23" i="48"/>
  <c r="B24" i="87"/>
  <c r="M3" i="10" s="1"/>
  <c r="B23" i="87"/>
  <c r="B20" i="87"/>
  <c r="B24" i="3"/>
  <c r="M14" i="10" s="1"/>
  <c r="B23" i="3"/>
  <c r="B20" i="3"/>
  <c r="N14" i="51" s="1"/>
  <c r="B25" i="86"/>
  <c r="B24" i="86"/>
  <c r="B23" i="86"/>
  <c r="B25" i="36"/>
  <c r="B24" i="36"/>
  <c r="B23" i="36"/>
  <c r="Q108" i="51"/>
  <c r="BT108" i="50" s="1"/>
  <c r="Q91" i="51"/>
  <c r="BT91" i="50" s="1"/>
  <c r="Q107" i="51"/>
  <c r="BT107" i="50" s="1"/>
  <c r="Q106" i="51"/>
  <c r="BT106" i="50" s="1"/>
  <c r="N106" i="51"/>
  <c r="Q105" i="51"/>
  <c r="BT105" i="50" s="1"/>
  <c r="Q51" i="51"/>
  <c r="BT51" i="50" s="1"/>
  <c r="Q50" i="51"/>
  <c r="BT50" i="50" s="1"/>
  <c r="Q49" i="51"/>
  <c r="BT49" i="50" s="1"/>
  <c r="Q48" i="51"/>
  <c r="BT48" i="50" s="1"/>
  <c r="N48" i="51"/>
  <c r="Q72" i="51"/>
  <c r="BT72" i="50" s="1"/>
  <c r="N72" i="51"/>
  <c r="Q73" i="51"/>
  <c r="BT73" i="50" s="1"/>
  <c r="N73" i="51"/>
  <c r="Q70" i="51"/>
  <c r="BT70" i="50" s="1"/>
  <c r="N70" i="51"/>
  <c r="Q69" i="51"/>
  <c r="BT69" i="50" s="1"/>
  <c r="N69" i="51"/>
  <c r="Q68" i="51"/>
  <c r="BT68" i="50" s="1"/>
  <c r="N68" i="51"/>
  <c r="Q67" i="51"/>
  <c r="BT67" i="50" s="1"/>
  <c r="N67" i="51"/>
  <c r="Q93" i="51"/>
  <c r="BT93" i="50" s="1"/>
  <c r="Q95" i="51"/>
  <c r="BT95" i="50" s="1"/>
  <c r="Q47" i="51"/>
  <c r="BT47" i="50" s="1"/>
  <c r="N47" i="51"/>
  <c r="Q55" i="51"/>
  <c r="BT55" i="50" s="1"/>
  <c r="N55" i="51"/>
  <c r="Q54" i="51"/>
  <c r="BT54" i="50" s="1"/>
  <c r="Q97" i="51"/>
  <c r="BT97" i="50" s="1"/>
  <c r="N97" i="51"/>
  <c r="Q96" i="51"/>
  <c r="BT96" i="50" s="1"/>
  <c r="N96" i="51"/>
  <c r="Q102" i="51"/>
  <c r="BT102" i="50" s="1"/>
  <c r="Q92" i="51"/>
  <c r="BT92" i="50" s="1"/>
  <c r="Q89" i="51"/>
  <c r="BT89" i="50" s="1"/>
  <c r="N89" i="51"/>
  <c r="Q88" i="51"/>
  <c r="BT88" i="50" s="1"/>
  <c r="Q87" i="51"/>
  <c r="BT87" i="50" s="1"/>
  <c r="N87" i="51"/>
  <c r="Q86" i="51"/>
  <c r="BT86" i="50" s="1"/>
  <c r="Q85" i="51"/>
  <c r="BT85" i="50" s="1"/>
  <c r="Q46" i="51"/>
  <c r="BT46" i="50" s="1"/>
  <c r="N46" i="51"/>
  <c r="Q45" i="51"/>
  <c r="BT45" i="50" s="1"/>
  <c r="N45" i="51"/>
  <c r="Q44" i="51"/>
  <c r="BT44" i="50" s="1"/>
  <c r="Q43" i="51"/>
  <c r="BT43" i="50" s="1"/>
  <c r="N43" i="51"/>
  <c r="N42" i="51"/>
  <c r="Q40" i="51"/>
  <c r="BT40" i="50" s="1"/>
  <c r="Q39" i="51"/>
  <c r="BT39" i="50" s="1"/>
  <c r="N39" i="51"/>
  <c r="Q109" i="51"/>
  <c r="BT109" i="50" s="1"/>
  <c r="N109" i="51"/>
  <c r="Q33" i="51"/>
  <c r="BT33" i="50" s="1"/>
  <c r="N33" i="51"/>
  <c r="Q38" i="51"/>
  <c r="BT38" i="50" s="1"/>
  <c r="N38" i="51"/>
  <c r="Q103" i="51"/>
  <c r="BT103" i="50" s="1"/>
  <c r="N103" i="51"/>
  <c r="Q37" i="51"/>
  <c r="BT37" i="50" s="1"/>
  <c r="Q36" i="51"/>
  <c r="BT36" i="50" s="1"/>
  <c r="Q35" i="51"/>
  <c r="BT35" i="50" s="1"/>
  <c r="Q84" i="51"/>
  <c r="BT84" i="50" s="1"/>
  <c r="N84" i="51"/>
  <c r="Q98" i="51"/>
  <c r="BT98" i="50" s="1"/>
  <c r="Q83" i="51"/>
  <c r="BT83" i="50" s="1"/>
  <c r="N83" i="51"/>
  <c r="Q101" i="51"/>
  <c r="BT101" i="50" s="1"/>
  <c r="N101" i="51"/>
  <c r="Q21" i="51"/>
  <c r="BT21" i="50" s="1"/>
  <c r="Q7" i="51"/>
  <c r="BT7" i="50" s="1"/>
  <c r="Q20" i="51"/>
  <c r="BT20" i="50" s="1"/>
  <c r="Q19" i="51"/>
  <c r="BT19" i="50" s="1"/>
  <c r="Q6" i="51"/>
  <c r="BT6" i="50" s="1"/>
  <c r="Q5" i="51"/>
  <c r="BT5" i="50" s="1"/>
  <c r="Q18" i="51"/>
  <c r="BT18" i="50" s="1"/>
  <c r="Q17" i="51"/>
  <c r="BT17" i="50" s="1"/>
  <c r="Q4" i="51"/>
  <c r="BT4" i="50" s="1"/>
  <c r="Q16" i="51"/>
  <c r="BT16" i="50" s="1"/>
  <c r="Q15" i="51"/>
  <c r="BT15" i="50" s="1"/>
  <c r="Q32" i="51"/>
  <c r="BT32" i="50" s="1"/>
  <c r="Q31" i="51"/>
  <c r="BT31" i="50" s="1"/>
  <c r="Q3" i="51"/>
  <c r="BT3" i="50" s="1"/>
  <c r="Q14" i="51"/>
  <c r="BT14" i="50" s="1"/>
  <c r="Q2" i="51"/>
  <c r="Q13" i="51"/>
  <c r="BT13" i="50" s="1"/>
  <c r="P13" i="51"/>
  <c r="Q108" i="50"/>
  <c r="N108" i="50"/>
  <c r="S108" i="50" s="1"/>
  <c r="Q91" i="50"/>
  <c r="N91" i="50"/>
  <c r="S91" i="50" s="1"/>
  <c r="Q107" i="50"/>
  <c r="N107" i="50"/>
  <c r="Q106" i="50"/>
  <c r="N106" i="50"/>
  <c r="Q105" i="50"/>
  <c r="N105" i="50"/>
  <c r="Y105" i="50" s="1"/>
  <c r="Q51" i="50"/>
  <c r="N51" i="50"/>
  <c r="V51" i="50" s="1"/>
  <c r="Q50" i="50"/>
  <c r="N50" i="50"/>
  <c r="V50" i="50" s="1"/>
  <c r="Q49" i="50"/>
  <c r="N49" i="50"/>
  <c r="Q48" i="50"/>
  <c r="N48" i="50"/>
  <c r="V48" i="50" s="1"/>
  <c r="Q72" i="50"/>
  <c r="Q73" i="50"/>
  <c r="N73" i="50"/>
  <c r="X73" i="50" s="1"/>
  <c r="Q70" i="50"/>
  <c r="Q69" i="50"/>
  <c r="Q68" i="50"/>
  <c r="Q67" i="50"/>
  <c r="Q93" i="50"/>
  <c r="N93" i="50"/>
  <c r="S93" i="50" s="1"/>
  <c r="Q95" i="50"/>
  <c r="Q47" i="50"/>
  <c r="Q55" i="50"/>
  <c r="Q54" i="50"/>
  <c r="Q97" i="50"/>
  <c r="Q96" i="50"/>
  <c r="Q102" i="50"/>
  <c r="Q92" i="50"/>
  <c r="N92" i="50"/>
  <c r="Q89" i="50"/>
  <c r="N89" i="50"/>
  <c r="Q88" i="50"/>
  <c r="N88" i="50"/>
  <c r="Q87" i="50"/>
  <c r="N87" i="50"/>
  <c r="Q86" i="50"/>
  <c r="N86" i="50"/>
  <c r="Q85" i="50"/>
  <c r="N85" i="50"/>
  <c r="Q46" i="50"/>
  <c r="Q45" i="50"/>
  <c r="Q44" i="50"/>
  <c r="Q43" i="50"/>
  <c r="N42" i="50"/>
  <c r="V42" i="50" s="1"/>
  <c r="Q40" i="50"/>
  <c r="N40" i="50"/>
  <c r="V40" i="50" s="1"/>
  <c r="Q39" i="50"/>
  <c r="Q109" i="50"/>
  <c r="N109" i="50"/>
  <c r="Q33" i="50"/>
  <c r="N33" i="50"/>
  <c r="V33" i="50" s="1"/>
  <c r="Q38" i="50"/>
  <c r="N38" i="50"/>
  <c r="Y38" i="50" s="1"/>
  <c r="Q103" i="50"/>
  <c r="N103" i="50"/>
  <c r="Q37" i="50"/>
  <c r="N37" i="50"/>
  <c r="Q36" i="50"/>
  <c r="N36" i="50"/>
  <c r="W36" i="50" s="1"/>
  <c r="Q35" i="50"/>
  <c r="N35" i="50"/>
  <c r="Q84" i="50"/>
  <c r="N84" i="50"/>
  <c r="U84" i="50" s="1"/>
  <c r="Q98" i="50"/>
  <c r="N98" i="50"/>
  <c r="S98" i="50" s="1"/>
  <c r="Q83" i="50"/>
  <c r="N83" i="50"/>
  <c r="V83" i="50" s="1"/>
  <c r="Q101" i="50"/>
  <c r="N101" i="50"/>
  <c r="V101" i="50" s="1"/>
  <c r="Q21" i="50"/>
  <c r="O21" i="50"/>
  <c r="Q7" i="50"/>
  <c r="Q20" i="50"/>
  <c r="Q19" i="50"/>
  <c r="Q6" i="50"/>
  <c r="N6" i="50"/>
  <c r="Q5" i="50"/>
  <c r="N5" i="50"/>
  <c r="Q18" i="50"/>
  <c r="N18" i="50"/>
  <c r="Q17" i="50"/>
  <c r="N17" i="50"/>
  <c r="Q4" i="50"/>
  <c r="N4" i="50"/>
  <c r="Q16" i="50"/>
  <c r="Q15" i="50"/>
  <c r="Q32" i="50"/>
  <c r="N32" i="50"/>
  <c r="Q31" i="50"/>
  <c r="N31" i="50"/>
  <c r="Q3" i="50"/>
  <c r="N3" i="50"/>
  <c r="Q14" i="50"/>
  <c r="N14" i="50"/>
  <c r="S14" i="50" s="1"/>
  <c r="O14" i="50"/>
  <c r="Q2" i="50"/>
  <c r="Q13" i="50"/>
  <c r="P13" i="50"/>
  <c r="Q108" i="10"/>
  <c r="J108" i="10"/>
  <c r="AI108" i="10" s="1"/>
  <c r="H108" i="10"/>
  <c r="AA108" i="10" s="1"/>
  <c r="F108" i="10"/>
  <c r="D108" i="10"/>
  <c r="C108" i="10"/>
  <c r="Q91" i="10"/>
  <c r="L91" i="10"/>
  <c r="AY91" i="10" s="1"/>
  <c r="F91" i="10"/>
  <c r="D91" i="10"/>
  <c r="C91" i="10"/>
  <c r="Q107" i="10"/>
  <c r="L107" i="10"/>
  <c r="F107" i="10"/>
  <c r="D107" i="10"/>
  <c r="C107" i="10"/>
  <c r="Q106" i="10"/>
  <c r="L106" i="10"/>
  <c r="K106" i="10"/>
  <c r="H106" i="10"/>
  <c r="F106" i="10"/>
  <c r="D106" i="10"/>
  <c r="C106" i="10"/>
  <c r="Q105" i="10"/>
  <c r="L105" i="10"/>
  <c r="BE105" i="10" s="1"/>
  <c r="F105" i="10"/>
  <c r="D105" i="10"/>
  <c r="C105" i="10"/>
  <c r="Q51" i="10"/>
  <c r="L51" i="10"/>
  <c r="BB51" i="10" s="1"/>
  <c r="F51" i="10"/>
  <c r="D51" i="10"/>
  <c r="C51" i="10"/>
  <c r="Q50" i="10"/>
  <c r="L50" i="10"/>
  <c r="BB50" i="10" s="1"/>
  <c r="F50" i="10"/>
  <c r="D50" i="10"/>
  <c r="C50" i="10"/>
  <c r="Q49" i="10"/>
  <c r="L49" i="10"/>
  <c r="F49" i="10"/>
  <c r="D49" i="10"/>
  <c r="C49" i="10"/>
  <c r="Q48" i="10"/>
  <c r="L48" i="10"/>
  <c r="BB48" i="10" s="1"/>
  <c r="F48" i="10"/>
  <c r="D48" i="10"/>
  <c r="C48" i="10"/>
  <c r="Q72" i="10"/>
  <c r="L72" i="10"/>
  <c r="BD72" i="10" s="1"/>
  <c r="H72" i="10"/>
  <c r="AF72" i="10" s="1"/>
  <c r="F72" i="10"/>
  <c r="D72" i="10"/>
  <c r="C72" i="10"/>
  <c r="Q73" i="10"/>
  <c r="N73" i="10"/>
  <c r="X73" i="10" s="1"/>
  <c r="M73" i="10"/>
  <c r="L73" i="10"/>
  <c r="BD73" i="10" s="1"/>
  <c r="K73" i="10"/>
  <c r="AV73" i="10" s="1"/>
  <c r="J73" i="10"/>
  <c r="AN73" i="10" s="1"/>
  <c r="H73" i="10"/>
  <c r="AF73" i="10" s="1"/>
  <c r="F73" i="10"/>
  <c r="D73" i="10"/>
  <c r="C73" i="10"/>
  <c r="Q70" i="10"/>
  <c r="L70" i="10"/>
  <c r="BD70" i="10" s="1"/>
  <c r="J70" i="10"/>
  <c r="AN70" i="10" s="1"/>
  <c r="H70" i="10"/>
  <c r="AF70" i="10" s="1"/>
  <c r="F70" i="10"/>
  <c r="D70" i="10"/>
  <c r="C70" i="10"/>
  <c r="Q69" i="10"/>
  <c r="L69" i="10"/>
  <c r="BD69" i="10" s="1"/>
  <c r="J69" i="10"/>
  <c r="AN69" i="10" s="1"/>
  <c r="F69" i="10"/>
  <c r="D69" i="10"/>
  <c r="C69" i="10"/>
  <c r="Q68" i="10"/>
  <c r="L68" i="10"/>
  <c r="BD68" i="10" s="1"/>
  <c r="J68" i="10"/>
  <c r="AN68" i="10" s="1"/>
  <c r="H68" i="10"/>
  <c r="F68" i="10"/>
  <c r="D68" i="10"/>
  <c r="C68" i="10"/>
  <c r="Q67" i="10"/>
  <c r="L67" i="10"/>
  <c r="BD67" i="10" s="1"/>
  <c r="J67" i="10"/>
  <c r="AN67" i="10" s="1"/>
  <c r="F67" i="10"/>
  <c r="D67" i="10"/>
  <c r="C67" i="10"/>
  <c r="Q93" i="10"/>
  <c r="F93" i="10"/>
  <c r="D93" i="10"/>
  <c r="C93" i="10"/>
  <c r="Q95" i="10"/>
  <c r="F95" i="10"/>
  <c r="D95" i="10"/>
  <c r="C95" i="10"/>
  <c r="Q47" i="10"/>
  <c r="L47" i="10"/>
  <c r="BB47" i="10" s="1"/>
  <c r="F47" i="10"/>
  <c r="D47" i="10"/>
  <c r="C47" i="10"/>
  <c r="Q55" i="10"/>
  <c r="L55" i="10"/>
  <c r="BA55" i="10" s="1"/>
  <c r="J55" i="10"/>
  <c r="AK55" i="10" s="1"/>
  <c r="H55" i="10"/>
  <c r="AC55" i="10" s="1"/>
  <c r="F55" i="10"/>
  <c r="D55" i="10"/>
  <c r="C55" i="10"/>
  <c r="Q54" i="10"/>
  <c r="L54" i="10"/>
  <c r="J54" i="10"/>
  <c r="F54" i="10"/>
  <c r="D54" i="10"/>
  <c r="C54" i="10"/>
  <c r="Q97" i="10"/>
  <c r="J97" i="10"/>
  <c r="H97" i="10"/>
  <c r="F97" i="10"/>
  <c r="D97" i="10"/>
  <c r="C97" i="10"/>
  <c r="Q96" i="10"/>
  <c r="F96" i="10"/>
  <c r="D96" i="10"/>
  <c r="C96" i="10"/>
  <c r="Q102" i="10"/>
  <c r="L102" i="10"/>
  <c r="J102" i="10"/>
  <c r="H102" i="10"/>
  <c r="F102" i="10"/>
  <c r="D102" i="10"/>
  <c r="C102" i="10"/>
  <c r="Q92" i="10"/>
  <c r="F92" i="10"/>
  <c r="D92" i="10"/>
  <c r="C92" i="10"/>
  <c r="Q89" i="10"/>
  <c r="N89" i="10"/>
  <c r="L89" i="10"/>
  <c r="K89" i="10"/>
  <c r="J89" i="10"/>
  <c r="H89" i="10"/>
  <c r="F89" i="10"/>
  <c r="D89" i="10"/>
  <c r="C89" i="10"/>
  <c r="Q88" i="10"/>
  <c r="J88" i="10"/>
  <c r="F88" i="10"/>
  <c r="D88" i="10"/>
  <c r="C88" i="10"/>
  <c r="Q87" i="10"/>
  <c r="J87" i="10"/>
  <c r="F87" i="10"/>
  <c r="D87" i="10"/>
  <c r="C87" i="10"/>
  <c r="Q86" i="10"/>
  <c r="F86" i="10"/>
  <c r="D86" i="10"/>
  <c r="C86" i="10"/>
  <c r="Q85" i="10"/>
  <c r="F85" i="10"/>
  <c r="D85" i="10"/>
  <c r="C85" i="10"/>
  <c r="Q46" i="10"/>
  <c r="L46" i="10"/>
  <c r="BB46" i="10" s="1"/>
  <c r="F46" i="10"/>
  <c r="D46" i="10"/>
  <c r="C46" i="10"/>
  <c r="Q45" i="10"/>
  <c r="L45" i="10"/>
  <c r="BB45" i="10" s="1"/>
  <c r="F45" i="10"/>
  <c r="D45" i="10"/>
  <c r="C45" i="10"/>
  <c r="Q44" i="10"/>
  <c r="L44" i="10"/>
  <c r="BB44" i="10" s="1"/>
  <c r="J44" i="10"/>
  <c r="AL44" i="10" s="1"/>
  <c r="F44" i="10"/>
  <c r="D44" i="10"/>
  <c r="C44" i="10"/>
  <c r="Q43" i="10"/>
  <c r="L43" i="10"/>
  <c r="J43" i="10"/>
  <c r="F43" i="10"/>
  <c r="D43" i="10"/>
  <c r="C43" i="10"/>
  <c r="Q52" i="10"/>
  <c r="L52" i="10"/>
  <c r="J52" i="10"/>
  <c r="AO52" i="10" s="1"/>
  <c r="H52" i="10"/>
  <c r="AG52" i="10" s="1"/>
  <c r="F52" i="10"/>
  <c r="D52" i="10"/>
  <c r="C52" i="10"/>
  <c r="N42" i="10"/>
  <c r="V42" i="10" s="1"/>
  <c r="M42" i="10"/>
  <c r="L42" i="10"/>
  <c r="BB42" i="10" s="1"/>
  <c r="K42" i="10"/>
  <c r="AT42" i="10" s="1"/>
  <c r="J42" i="10"/>
  <c r="AL42" i="10" s="1"/>
  <c r="H42" i="10"/>
  <c r="AD42" i="10" s="1"/>
  <c r="F42" i="10"/>
  <c r="D42" i="10"/>
  <c r="C42" i="10"/>
  <c r="Q40" i="10"/>
  <c r="J40" i="10"/>
  <c r="AL40" i="10" s="1"/>
  <c r="F40" i="10"/>
  <c r="D40" i="10"/>
  <c r="C40" i="10"/>
  <c r="Q39" i="10"/>
  <c r="L39" i="10"/>
  <c r="BB39" i="10" s="1"/>
  <c r="J39" i="10"/>
  <c r="AL39" i="10" s="1"/>
  <c r="F39" i="10"/>
  <c r="D39" i="10"/>
  <c r="C39" i="10"/>
  <c r="Q109" i="10"/>
  <c r="L109" i="10"/>
  <c r="J109" i="10"/>
  <c r="H109" i="10"/>
  <c r="F109" i="10"/>
  <c r="D109" i="10"/>
  <c r="C109" i="10"/>
  <c r="Q33" i="10"/>
  <c r="N33" i="10"/>
  <c r="V33" i="10" s="1"/>
  <c r="L33" i="10"/>
  <c r="BB33" i="10" s="1"/>
  <c r="K33" i="10"/>
  <c r="AT33" i="10" s="1"/>
  <c r="H33" i="10"/>
  <c r="F33" i="10"/>
  <c r="D33" i="10"/>
  <c r="C33" i="10"/>
  <c r="Q38" i="10"/>
  <c r="N38" i="10"/>
  <c r="Y38" i="10" s="1"/>
  <c r="L38" i="10"/>
  <c r="BE38" i="10" s="1"/>
  <c r="K38" i="10"/>
  <c r="AW38" i="10" s="1"/>
  <c r="J38" i="10"/>
  <c r="AO38" i="10" s="1"/>
  <c r="H38" i="10"/>
  <c r="AG38" i="10" s="1"/>
  <c r="F38" i="10"/>
  <c r="D38" i="10"/>
  <c r="C38" i="10"/>
  <c r="Q103" i="10"/>
  <c r="N103" i="10"/>
  <c r="M103" i="10"/>
  <c r="L103" i="10"/>
  <c r="K103" i="10"/>
  <c r="J103" i="10"/>
  <c r="H103" i="10"/>
  <c r="F103" i="10"/>
  <c r="D103" i="10"/>
  <c r="C103" i="10"/>
  <c r="Q37" i="10"/>
  <c r="J37" i="10"/>
  <c r="H37" i="10"/>
  <c r="F37" i="10"/>
  <c r="D37" i="10"/>
  <c r="C37" i="10"/>
  <c r="Q36" i="10"/>
  <c r="J36" i="10"/>
  <c r="AM36" i="10" s="1"/>
  <c r="H36" i="10"/>
  <c r="AE36" i="10" s="1"/>
  <c r="F36" i="10"/>
  <c r="D36" i="10"/>
  <c r="C36" i="10"/>
  <c r="Q35" i="10"/>
  <c r="J35" i="10"/>
  <c r="AK35" i="10" s="1"/>
  <c r="F35" i="10"/>
  <c r="D35" i="10"/>
  <c r="C35" i="10"/>
  <c r="Q84" i="10"/>
  <c r="N84" i="10"/>
  <c r="M84" i="10"/>
  <c r="L84" i="10"/>
  <c r="K84" i="10"/>
  <c r="J84" i="10"/>
  <c r="AK84" i="10" s="1"/>
  <c r="H84" i="10"/>
  <c r="AE84" i="10" s="1"/>
  <c r="F84" i="10"/>
  <c r="D84" i="10"/>
  <c r="C84" i="10"/>
  <c r="Q98" i="10"/>
  <c r="L98" i="10"/>
  <c r="AY98" i="10" s="1"/>
  <c r="J98" i="10"/>
  <c r="AI98" i="10" s="1"/>
  <c r="H98" i="10"/>
  <c r="F98" i="10"/>
  <c r="D98" i="10"/>
  <c r="C98" i="10"/>
  <c r="Q83" i="10"/>
  <c r="J83" i="10"/>
  <c r="AL83" i="10" s="1"/>
  <c r="F83" i="10"/>
  <c r="D83" i="10"/>
  <c r="C83" i="10"/>
  <c r="Q101" i="10"/>
  <c r="N101" i="10"/>
  <c r="V101" i="10" s="1"/>
  <c r="M101" i="10"/>
  <c r="L101" i="10"/>
  <c r="BB101" i="10" s="1"/>
  <c r="K101" i="10"/>
  <c r="AT101" i="10" s="1"/>
  <c r="J101" i="10"/>
  <c r="H101" i="10"/>
  <c r="F101" i="10"/>
  <c r="D101" i="10"/>
  <c r="C101" i="10"/>
  <c r="Q21" i="10"/>
  <c r="N21" i="10"/>
  <c r="S21" i="10" s="1"/>
  <c r="L21" i="10"/>
  <c r="AY21" i="10" s="1"/>
  <c r="K21" i="10"/>
  <c r="AQ21" i="10" s="1"/>
  <c r="J21" i="10"/>
  <c r="AI21" i="10" s="1"/>
  <c r="H21" i="10"/>
  <c r="AA21" i="10" s="1"/>
  <c r="F21" i="10"/>
  <c r="D21" i="10"/>
  <c r="C21" i="10"/>
  <c r="Q7" i="10"/>
  <c r="L7" i="10"/>
  <c r="BE7" i="10" s="1"/>
  <c r="K7" i="10"/>
  <c r="AW7" i="10" s="1"/>
  <c r="J7" i="10"/>
  <c r="AO7" i="10" s="1"/>
  <c r="H7" i="10"/>
  <c r="AG7" i="10" s="1"/>
  <c r="F7" i="10"/>
  <c r="D7" i="10"/>
  <c r="C7" i="10"/>
  <c r="Q20" i="10"/>
  <c r="N20" i="10"/>
  <c r="M20" i="10"/>
  <c r="L20" i="10"/>
  <c r="K20" i="10"/>
  <c r="J20" i="10"/>
  <c r="H20" i="10"/>
  <c r="F20" i="10"/>
  <c r="D20" i="10"/>
  <c r="C20" i="10"/>
  <c r="Q19" i="10"/>
  <c r="L19" i="10"/>
  <c r="K19" i="10"/>
  <c r="J19" i="10"/>
  <c r="H19" i="10"/>
  <c r="F19" i="10"/>
  <c r="D19" i="10"/>
  <c r="C19" i="10"/>
  <c r="Q6" i="10"/>
  <c r="N6" i="10"/>
  <c r="L6" i="10"/>
  <c r="K6" i="10"/>
  <c r="J6" i="10"/>
  <c r="H6" i="10"/>
  <c r="F6" i="10"/>
  <c r="D6" i="10"/>
  <c r="C6" i="10"/>
  <c r="Q5" i="10"/>
  <c r="N5" i="10"/>
  <c r="L5" i="10"/>
  <c r="K5" i="10"/>
  <c r="J5" i="10"/>
  <c r="H5" i="10"/>
  <c r="F5" i="10"/>
  <c r="D5" i="10"/>
  <c r="C5" i="10"/>
  <c r="Q18" i="10"/>
  <c r="N18" i="10"/>
  <c r="L18" i="10"/>
  <c r="K18" i="10"/>
  <c r="J18" i="10"/>
  <c r="H18" i="10"/>
  <c r="F18" i="10"/>
  <c r="D18" i="10"/>
  <c r="C18" i="10"/>
  <c r="Q17" i="10"/>
  <c r="N17" i="10"/>
  <c r="L17" i="10"/>
  <c r="K17" i="10"/>
  <c r="J17" i="10"/>
  <c r="H17" i="10"/>
  <c r="F17" i="10"/>
  <c r="D17" i="10"/>
  <c r="C17" i="10"/>
  <c r="Q4" i="10"/>
  <c r="L4" i="10"/>
  <c r="K4" i="10"/>
  <c r="J4" i="10"/>
  <c r="H4" i="10"/>
  <c r="F4" i="10"/>
  <c r="D4" i="10"/>
  <c r="C4" i="10"/>
  <c r="Q16" i="10"/>
  <c r="L16" i="10"/>
  <c r="BB16" i="10" s="1"/>
  <c r="J16" i="10"/>
  <c r="AL16" i="10" s="1"/>
  <c r="H16" i="10"/>
  <c r="AD16" i="10" s="1"/>
  <c r="F16" i="10"/>
  <c r="D16" i="10"/>
  <c r="C16" i="10"/>
  <c r="Q15" i="10"/>
  <c r="L15" i="10"/>
  <c r="BB15" i="10" s="1"/>
  <c r="J15" i="10"/>
  <c r="AL15" i="10" s="1"/>
  <c r="H15" i="10"/>
  <c r="AD15" i="10" s="1"/>
  <c r="F15" i="10"/>
  <c r="D15" i="10"/>
  <c r="C15" i="10"/>
  <c r="Q32" i="10"/>
  <c r="L32" i="10"/>
  <c r="K32" i="10"/>
  <c r="J32" i="10"/>
  <c r="H32" i="10"/>
  <c r="F32" i="10"/>
  <c r="D32" i="10"/>
  <c r="C32" i="10"/>
  <c r="Q31" i="10"/>
  <c r="N31" i="10"/>
  <c r="L31" i="10"/>
  <c r="K31" i="10"/>
  <c r="J31" i="10"/>
  <c r="H31" i="10"/>
  <c r="F31" i="10"/>
  <c r="D31" i="10"/>
  <c r="C31" i="10"/>
  <c r="Q3" i="10"/>
  <c r="L3" i="10"/>
  <c r="K3" i="10"/>
  <c r="J3" i="10"/>
  <c r="H3" i="10"/>
  <c r="F3" i="10"/>
  <c r="D3" i="10"/>
  <c r="C3" i="10"/>
  <c r="Q14" i="10"/>
  <c r="L14" i="10"/>
  <c r="AY14" i="10" s="1"/>
  <c r="K14" i="10"/>
  <c r="AQ14" i="10" s="1"/>
  <c r="J14" i="10"/>
  <c r="AI14" i="10" s="1"/>
  <c r="H14" i="10"/>
  <c r="AA14" i="10" s="1"/>
  <c r="F14" i="10"/>
  <c r="D14" i="10"/>
  <c r="C14" i="10"/>
  <c r="Q2" i="10"/>
  <c r="N2" i="10"/>
  <c r="L2" i="10"/>
  <c r="K2" i="10"/>
  <c r="J2" i="10"/>
  <c r="H2" i="10"/>
  <c r="F2" i="10"/>
  <c r="D2" i="10"/>
  <c r="C2" i="10"/>
  <c r="Q13" i="10"/>
  <c r="P13" i="10"/>
  <c r="N13" i="10"/>
  <c r="L13" i="10"/>
  <c r="K13" i="10"/>
  <c r="J13" i="10"/>
  <c r="H13" i="10"/>
  <c r="F13" i="10"/>
  <c r="E13" i="10"/>
  <c r="D13" i="10"/>
  <c r="C13" i="10"/>
  <c r="C7" i="52"/>
  <c r="C9" i="52"/>
  <c r="AE136" i="10" l="1"/>
  <c r="AE138" i="10" s="1"/>
  <c r="N132" i="51"/>
  <c r="W37" i="50"/>
  <c r="Y37" i="50"/>
  <c r="AM37" i="10"/>
  <c r="AO37" i="10"/>
  <c r="AE37" i="10"/>
  <c r="AG37" i="10"/>
  <c r="U84" i="10"/>
  <c r="W84" i="10"/>
  <c r="AS84" i="10"/>
  <c r="AU84" i="10"/>
  <c r="BA84" i="10"/>
  <c r="BC84" i="10"/>
  <c r="O68" i="10"/>
  <c r="AF68" i="10"/>
  <c r="BK33" i="10"/>
  <c r="BR33" i="10"/>
  <c r="BR44" i="10"/>
  <c r="BK44" i="10"/>
  <c r="BR48" i="10"/>
  <c r="BK48" i="10"/>
  <c r="BK36" i="10"/>
  <c r="BR36" i="10"/>
  <c r="BR88" i="10"/>
  <c r="BK88" i="10"/>
  <c r="BK47" i="10"/>
  <c r="BR47" i="10"/>
  <c r="BR15" i="10"/>
  <c r="BK15" i="10"/>
  <c r="BR98" i="10"/>
  <c r="BK98" i="10"/>
  <c r="BK37" i="10"/>
  <c r="BR37" i="10"/>
  <c r="BR39" i="10"/>
  <c r="BK39" i="10"/>
  <c r="BR46" i="10"/>
  <c r="BK46" i="10"/>
  <c r="BR92" i="10"/>
  <c r="BK92" i="10"/>
  <c r="BK102" i="10"/>
  <c r="BR102" i="10"/>
  <c r="BK51" i="10"/>
  <c r="BR51" i="10"/>
  <c r="AE13" i="50"/>
  <c r="AL13" i="50"/>
  <c r="BK101" i="10"/>
  <c r="BR101" i="10"/>
  <c r="BR35" i="10"/>
  <c r="BK35" i="10"/>
  <c r="BR85" i="10"/>
  <c r="BK85" i="10"/>
  <c r="BR87" i="10"/>
  <c r="BK87" i="10"/>
  <c r="BR54" i="10"/>
  <c r="BK54" i="10"/>
  <c r="BK107" i="10"/>
  <c r="BR107" i="10"/>
  <c r="BR40" i="10"/>
  <c r="BK40" i="10"/>
  <c r="BR70" i="10"/>
  <c r="BK70" i="10"/>
  <c r="BR49" i="10"/>
  <c r="BK49" i="10"/>
  <c r="BR16" i="10"/>
  <c r="BK16" i="10"/>
  <c r="BK83" i="10"/>
  <c r="BR83" i="10"/>
  <c r="BK84" i="10"/>
  <c r="BR84" i="10"/>
  <c r="BR42" i="10"/>
  <c r="BK42" i="10"/>
  <c r="BK43" i="10"/>
  <c r="BR43" i="10"/>
  <c r="BK45" i="10"/>
  <c r="BR45" i="10"/>
  <c r="BK89" i="10"/>
  <c r="BR89" i="10"/>
  <c r="BR96" i="10"/>
  <c r="BK96" i="10"/>
  <c r="BK97" i="10"/>
  <c r="BR97" i="10"/>
  <c r="BR55" i="10"/>
  <c r="BK55" i="10"/>
  <c r="BR95" i="10"/>
  <c r="BK95" i="10"/>
  <c r="BR67" i="10"/>
  <c r="BK67" i="10"/>
  <c r="BK72" i="10"/>
  <c r="BR72" i="10"/>
  <c r="BK50" i="10"/>
  <c r="BR50" i="10"/>
  <c r="BR2" i="10"/>
  <c r="BK2" i="10"/>
  <c r="BR17" i="10"/>
  <c r="BK17" i="10"/>
  <c r="BR20" i="10"/>
  <c r="BK20" i="10"/>
  <c r="BK106" i="10"/>
  <c r="BR106" i="10"/>
  <c r="BR3" i="10"/>
  <c r="BK3" i="10"/>
  <c r="BR31" i="10"/>
  <c r="BK31" i="10"/>
  <c r="BR18" i="10"/>
  <c r="BK18" i="10"/>
  <c r="BR108" i="10"/>
  <c r="BK108" i="10"/>
  <c r="BR4" i="10"/>
  <c r="BK4" i="10"/>
  <c r="BK91" i="10"/>
  <c r="BR13" i="10"/>
  <c r="BK13" i="10"/>
  <c r="BR32" i="10"/>
  <c r="BK32" i="10"/>
  <c r="BR5" i="10"/>
  <c r="BK5" i="10"/>
  <c r="BR7" i="10"/>
  <c r="BK7" i="10"/>
  <c r="BR21" i="10"/>
  <c r="BK21" i="10"/>
  <c r="BR38" i="10"/>
  <c r="BK38" i="10"/>
  <c r="BR52" i="10"/>
  <c r="BK52" i="10"/>
  <c r="BR69" i="10"/>
  <c r="BR19" i="10"/>
  <c r="BK19" i="10"/>
  <c r="BR103" i="10"/>
  <c r="BK103" i="10"/>
  <c r="BR14" i="10"/>
  <c r="BK14" i="10"/>
  <c r="BR6" i="10"/>
  <c r="BK6" i="10"/>
  <c r="BR109" i="10"/>
  <c r="BK109" i="10"/>
  <c r="BK86" i="10"/>
  <c r="BR86" i="10"/>
  <c r="BR68" i="10"/>
  <c r="BK68" i="10"/>
  <c r="BR73" i="10"/>
  <c r="BK73" i="10"/>
  <c r="W35" i="50"/>
  <c r="U35" i="50"/>
  <c r="BG14" i="10"/>
  <c r="BH14" i="10"/>
  <c r="BN14" i="10"/>
  <c r="BS14" i="10"/>
  <c r="BJ14" i="10"/>
  <c r="BL14" i="10"/>
  <c r="BI14" i="10"/>
  <c r="BO14" i="10"/>
  <c r="BP14" i="10"/>
  <c r="BQ14" i="10"/>
  <c r="BH16" i="10"/>
  <c r="BI16" i="10"/>
  <c r="BJ16" i="10"/>
  <c r="BP16" i="10"/>
  <c r="BG16" i="10"/>
  <c r="BL16" i="10"/>
  <c r="BN16" i="10"/>
  <c r="BO16" i="10"/>
  <c r="BQ16" i="10"/>
  <c r="BS16" i="10"/>
  <c r="BJ18" i="10"/>
  <c r="BL18" i="10"/>
  <c r="BN18" i="10"/>
  <c r="BG18" i="10"/>
  <c r="BH18" i="10"/>
  <c r="BO18" i="10"/>
  <c r="BP18" i="10"/>
  <c r="BQ18" i="10"/>
  <c r="BI18" i="10"/>
  <c r="BS18" i="10"/>
  <c r="BQ45" i="10"/>
  <c r="BS45" i="10"/>
  <c r="BL45" i="10"/>
  <c r="BO45" i="10"/>
  <c r="BN45" i="10"/>
  <c r="BJ45" i="10"/>
  <c r="BG45" i="10"/>
  <c r="BH45" i="10"/>
  <c r="BI95" i="10"/>
  <c r="BJ95" i="10"/>
  <c r="BQ95" i="10"/>
  <c r="BH95" i="10"/>
  <c r="BG95" i="10"/>
  <c r="BN95" i="10"/>
  <c r="BO95" i="10"/>
  <c r="BP95" i="10"/>
  <c r="BL95" i="10"/>
  <c r="BS95" i="10"/>
  <c r="BG32" i="10"/>
  <c r="BS32" i="10"/>
  <c r="BI32" i="10"/>
  <c r="BJ32" i="10"/>
  <c r="BH32" i="10"/>
  <c r="BL32" i="10"/>
  <c r="BQ32" i="10"/>
  <c r="BN32" i="10"/>
  <c r="BO32" i="10"/>
  <c r="BP32" i="10"/>
  <c r="BP15" i="10"/>
  <c r="BQ15" i="10"/>
  <c r="BL15" i="10"/>
  <c r="BN15" i="10"/>
  <c r="BS15" i="10"/>
  <c r="BJ15" i="10"/>
  <c r="BG15" i="10"/>
  <c r="BH15" i="10"/>
  <c r="BI15" i="10"/>
  <c r="BO15" i="10"/>
  <c r="BG5" i="10"/>
  <c r="BH5" i="10"/>
  <c r="BI5" i="10"/>
  <c r="BJ5" i="10"/>
  <c r="BL5" i="10"/>
  <c r="BN5" i="10"/>
  <c r="BS5" i="10"/>
  <c r="BP5" i="10"/>
  <c r="BQ5" i="10"/>
  <c r="BO5" i="10"/>
  <c r="BI7" i="10"/>
  <c r="BJ7" i="10"/>
  <c r="BG7" i="10"/>
  <c r="BH7" i="10"/>
  <c r="BN7" i="10"/>
  <c r="BO7" i="10"/>
  <c r="BP7" i="10"/>
  <c r="BQ7" i="10"/>
  <c r="BS7" i="10"/>
  <c r="BL7" i="10"/>
  <c r="BN21" i="10"/>
  <c r="BO21" i="10"/>
  <c r="BP21" i="10"/>
  <c r="BS21" i="10"/>
  <c r="BH21" i="10"/>
  <c r="BJ21" i="10"/>
  <c r="BQ21" i="10"/>
  <c r="BG21" i="10"/>
  <c r="BI21" i="10"/>
  <c r="BL21" i="10"/>
  <c r="BP98" i="10"/>
  <c r="BS98" i="10"/>
  <c r="BI98" i="10"/>
  <c r="BH98" i="10"/>
  <c r="BN98" i="10"/>
  <c r="BO98" i="10"/>
  <c r="BG98" i="10"/>
  <c r="BL98" i="10"/>
  <c r="BQ98" i="10"/>
  <c r="BJ98" i="10"/>
  <c r="BP37" i="10"/>
  <c r="BQ37" i="10"/>
  <c r="BJ37" i="10"/>
  <c r="BN37" i="10"/>
  <c r="BO37" i="10"/>
  <c r="BL37" i="10"/>
  <c r="BG37" i="10"/>
  <c r="BH37" i="10"/>
  <c r="BI37" i="10"/>
  <c r="BS37" i="10"/>
  <c r="BH38" i="10"/>
  <c r="BI38" i="10"/>
  <c r="BJ38" i="10"/>
  <c r="BG38" i="10"/>
  <c r="BL38" i="10"/>
  <c r="BN38" i="10"/>
  <c r="BO38" i="10"/>
  <c r="BP38" i="10"/>
  <c r="BQ38" i="10"/>
  <c r="BS38" i="10"/>
  <c r="BS39" i="10"/>
  <c r="BN39" i="10"/>
  <c r="BO39" i="10"/>
  <c r="BG39" i="10"/>
  <c r="BP39" i="10"/>
  <c r="BL39" i="10"/>
  <c r="BI39" i="10"/>
  <c r="BJ39" i="10"/>
  <c r="BQ39" i="10"/>
  <c r="BH39" i="10"/>
  <c r="BO52" i="10"/>
  <c r="BP52" i="10"/>
  <c r="BQ52" i="10"/>
  <c r="BI52" i="10"/>
  <c r="BN52" i="10"/>
  <c r="BS52" i="10"/>
  <c r="BJ52" i="10"/>
  <c r="BL52" i="10"/>
  <c r="BG52" i="10"/>
  <c r="BH52" i="10"/>
  <c r="BL46" i="10"/>
  <c r="BN46" i="10"/>
  <c r="BO46" i="10"/>
  <c r="BG46" i="10"/>
  <c r="BJ46" i="10"/>
  <c r="BQ46" i="10"/>
  <c r="BS46" i="10"/>
  <c r="BH46" i="10"/>
  <c r="BQ92" i="10"/>
  <c r="BH92" i="10"/>
  <c r="BI92" i="10"/>
  <c r="BJ92" i="10"/>
  <c r="BP92" i="10"/>
  <c r="BL92" i="10"/>
  <c r="BN92" i="10"/>
  <c r="BO92" i="10"/>
  <c r="BG92" i="10"/>
  <c r="BS92" i="10"/>
  <c r="BQ102" i="10"/>
  <c r="BS102" i="10"/>
  <c r="BH102" i="10"/>
  <c r="BN102" i="10"/>
  <c r="BO102" i="10"/>
  <c r="BL102" i="10"/>
  <c r="BG102" i="10"/>
  <c r="BP102" i="10"/>
  <c r="BI102" i="10"/>
  <c r="BJ102" i="10"/>
  <c r="BN93" i="10"/>
  <c r="BP93" i="10"/>
  <c r="BQ93" i="10"/>
  <c r="BG93" i="10"/>
  <c r="BS93" i="10"/>
  <c r="BJ93" i="10"/>
  <c r="BI93" i="10"/>
  <c r="BL93" i="10"/>
  <c r="BH67" i="10"/>
  <c r="BJ67" i="10"/>
  <c r="BQ67" i="10"/>
  <c r="BL67" i="10"/>
  <c r="BN67" i="10"/>
  <c r="BO67" i="10"/>
  <c r="BG67" i="10"/>
  <c r="BP67" i="10"/>
  <c r="BS67" i="10"/>
  <c r="BI72" i="10"/>
  <c r="BJ72" i="10"/>
  <c r="BL72" i="10"/>
  <c r="BQ72" i="10"/>
  <c r="BN72" i="10"/>
  <c r="BO72" i="10"/>
  <c r="BH72" i="10"/>
  <c r="BS72" i="10"/>
  <c r="BG72" i="10"/>
  <c r="BH50" i="10"/>
  <c r="BJ50" i="10"/>
  <c r="BL50" i="10"/>
  <c r="BN50" i="10"/>
  <c r="BO50" i="10"/>
  <c r="BQ50" i="10"/>
  <c r="BS50" i="10"/>
  <c r="BG50" i="10"/>
  <c r="BO108" i="10"/>
  <c r="BP108" i="10"/>
  <c r="BQ108" i="10"/>
  <c r="BN108" i="10"/>
  <c r="BJ108" i="10"/>
  <c r="BG108" i="10"/>
  <c r="BH108" i="10"/>
  <c r="BS108" i="10"/>
  <c r="BL108" i="10"/>
  <c r="BI108" i="10"/>
  <c r="S13" i="50"/>
  <c r="T13" i="50"/>
  <c r="X13" i="50"/>
  <c r="V13" i="50"/>
  <c r="W13" i="50"/>
  <c r="U13" i="50"/>
  <c r="Y13" i="50"/>
  <c r="AI92" i="50"/>
  <c r="AY92" i="50"/>
  <c r="BG3" i="10"/>
  <c r="BL3" i="10"/>
  <c r="BI3" i="10"/>
  <c r="BJ3" i="10"/>
  <c r="BQ3" i="10"/>
  <c r="BN3" i="10"/>
  <c r="BO3" i="10"/>
  <c r="BP3" i="10"/>
  <c r="BS3" i="10"/>
  <c r="BH3" i="10"/>
  <c r="BQ83" i="10"/>
  <c r="BJ83" i="10"/>
  <c r="BH83" i="10"/>
  <c r="BO83" i="10"/>
  <c r="BP83" i="10"/>
  <c r="BL83" i="10"/>
  <c r="BG83" i="10"/>
  <c r="BN83" i="10"/>
  <c r="BS83" i="10"/>
  <c r="BJ84" i="10"/>
  <c r="BP84" i="10"/>
  <c r="BG84" i="10"/>
  <c r="BN84" i="10"/>
  <c r="BO84" i="10"/>
  <c r="BL84" i="10"/>
  <c r="BI84" i="10"/>
  <c r="BS84" i="10"/>
  <c r="BQ84" i="10"/>
  <c r="BH42" i="10"/>
  <c r="BI42" i="10"/>
  <c r="BJ42" i="10"/>
  <c r="BG42" i="10"/>
  <c r="BL42" i="10"/>
  <c r="BN42" i="10"/>
  <c r="BO42" i="10"/>
  <c r="BP42" i="10"/>
  <c r="BQ42" i="10"/>
  <c r="BS42" i="10"/>
  <c r="BN43" i="10"/>
  <c r="BO43" i="10"/>
  <c r="BP43" i="10"/>
  <c r="BQ43" i="10"/>
  <c r="BL43" i="10"/>
  <c r="BS43" i="10"/>
  <c r="BG43" i="10"/>
  <c r="BI43" i="10"/>
  <c r="BJ43" i="10"/>
  <c r="BH43" i="10"/>
  <c r="BG96" i="10"/>
  <c r="BH96" i="10"/>
  <c r="BS96" i="10"/>
  <c r="BJ96" i="10"/>
  <c r="BL96" i="10"/>
  <c r="BI96" i="10"/>
  <c r="BO96" i="10"/>
  <c r="BP96" i="10"/>
  <c r="BQ96" i="10"/>
  <c r="BN96" i="10"/>
  <c r="BI55" i="10"/>
  <c r="BJ55" i="10"/>
  <c r="BQ55" i="10"/>
  <c r="BH55" i="10"/>
  <c r="BN55" i="10"/>
  <c r="BO55" i="10"/>
  <c r="BP55" i="10"/>
  <c r="BL55" i="10"/>
  <c r="BG55" i="10"/>
  <c r="BS55" i="10"/>
  <c r="BO91" i="10"/>
  <c r="BQ91" i="10"/>
  <c r="BS91" i="10"/>
  <c r="BJ91" i="10"/>
  <c r="BL91" i="10"/>
  <c r="BP91" i="10"/>
  <c r="BG91" i="10"/>
  <c r="BH91" i="10"/>
  <c r="BN91" i="10"/>
  <c r="BI91" i="10"/>
  <c r="BG6" i="10"/>
  <c r="BS6" i="10"/>
  <c r="BH6" i="10"/>
  <c r="BI6" i="10"/>
  <c r="BJ6" i="10"/>
  <c r="BP6" i="10"/>
  <c r="BQ6" i="10"/>
  <c r="BL6" i="10"/>
  <c r="BN6" i="10"/>
  <c r="BO6" i="10"/>
  <c r="BH101" i="10"/>
  <c r="BJ101" i="10"/>
  <c r="BN101" i="10"/>
  <c r="BL101" i="10"/>
  <c r="BQ101" i="10"/>
  <c r="BG101" i="10"/>
  <c r="BS101" i="10"/>
  <c r="BO101" i="10"/>
  <c r="O98" i="10"/>
  <c r="AA98" i="10"/>
  <c r="BQ35" i="10"/>
  <c r="BI35" i="10"/>
  <c r="BJ35" i="10"/>
  <c r="BO35" i="10"/>
  <c r="BP35" i="10"/>
  <c r="BG35" i="10"/>
  <c r="BN35" i="10"/>
  <c r="BL33" i="10"/>
  <c r="BS33" i="10"/>
  <c r="BQ33" i="10"/>
  <c r="BG33" i="10"/>
  <c r="BN33" i="10"/>
  <c r="BJ33" i="10"/>
  <c r="BO33" i="10"/>
  <c r="BH33" i="10"/>
  <c r="BL109" i="10"/>
  <c r="BP109" i="10"/>
  <c r="BS109" i="10"/>
  <c r="BG109" i="10"/>
  <c r="BH109" i="10"/>
  <c r="BQ109" i="10"/>
  <c r="BO109" i="10"/>
  <c r="BI109" i="10"/>
  <c r="BJ109" i="10"/>
  <c r="BN109" i="10"/>
  <c r="BS44" i="10"/>
  <c r="BG44" i="10"/>
  <c r="BH44" i="10"/>
  <c r="BO44" i="10"/>
  <c r="BP44" i="10"/>
  <c r="BQ44" i="10"/>
  <c r="BJ44" i="10"/>
  <c r="BL44" i="10"/>
  <c r="BN44" i="10"/>
  <c r="BG85" i="10"/>
  <c r="BH85" i="10"/>
  <c r="BI85" i="10"/>
  <c r="BL85" i="10"/>
  <c r="BN85" i="10"/>
  <c r="BJ85" i="10"/>
  <c r="BO85" i="10"/>
  <c r="BS85" i="10"/>
  <c r="BP85" i="10"/>
  <c r="BQ85" i="10"/>
  <c r="BL86" i="10"/>
  <c r="BN86" i="10"/>
  <c r="BO86" i="10"/>
  <c r="BP86" i="10"/>
  <c r="BI86" i="10"/>
  <c r="BQ86" i="10"/>
  <c r="BS86" i="10"/>
  <c r="BG86" i="10"/>
  <c r="BH86" i="10"/>
  <c r="BJ86" i="10"/>
  <c r="BI87" i="10"/>
  <c r="BJ87" i="10"/>
  <c r="BL87" i="10"/>
  <c r="BQ87" i="10"/>
  <c r="BN87" i="10"/>
  <c r="BO87" i="10"/>
  <c r="BP87" i="10"/>
  <c r="BH87" i="10"/>
  <c r="BG87" i="10"/>
  <c r="BS87" i="10"/>
  <c r="BL54" i="10"/>
  <c r="BN54" i="10"/>
  <c r="BO54" i="10"/>
  <c r="BP54" i="10"/>
  <c r="BQ54" i="10"/>
  <c r="BS54" i="10"/>
  <c r="BH54" i="10"/>
  <c r="BI54" i="10"/>
  <c r="BG54" i="10"/>
  <c r="BJ54" i="10"/>
  <c r="BS69" i="10"/>
  <c r="BP69" i="10"/>
  <c r="BG69" i="10"/>
  <c r="BH69" i="10"/>
  <c r="BQ69" i="10"/>
  <c r="BJ69" i="10"/>
  <c r="BL69" i="10"/>
  <c r="BI69" i="10"/>
  <c r="BN69" i="10"/>
  <c r="BO69" i="10"/>
  <c r="BS51" i="10"/>
  <c r="BN51" i="10"/>
  <c r="BG51" i="10"/>
  <c r="BH51" i="10"/>
  <c r="BJ51" i="10"/>
  <c r="BL51" i="10"/>
  <c r="BQ51" i="10"/>
  <c r="BO51" i="10"/>
  <c r="AC13" i="50"/>
  <c r="AH13" i="50"/>
  <c r="AQ13" i="50"/>
  <c r="AU13" i="50"/>
  <c r="AZ13" i="50"/>
  <c r="BE13" i="50"/>
  <c r="BI13" i="50"/>
  <c r="BN13" i="50"/>
  <c r="BR13" i="50"/>
  <c r="AA13" i="50"/>
  <c r="AJ13" i="50"/>
  <c r="AO13" i="50"/>
  <c r="AS13" i="50"/>
  <c r="AX13" i="50"/>
  <c r="BB13" i="50"/>
  <c r="BG13" i="50"/>
  <c r="BK13" i="50"/>
  <c r="BP13" i="50"/>
  <c r="AF13" i="50"/>
  <c r="AP13" i="50"/>
  <c r="AY13" i="50"/>
  <c r="BH13" i="50"/>
  <c r="BQ13" i="50"/>
  <c r="AB13" i="50"/>
  <c r="AK13" i="50"/>
  <c r="AT13" i="50"/>
  <c r="BC13" i="50"/>
  <c r="BM13" i="50"/>
  <c r="AD13" i="50"/>
  <c r="AW13" i="50"/>
  <c r="BO13" i="50"/>
  <c r="AM13" i="50"/>
  <c r="BF13" i="50"/>
  <c r="BJ13" i="50"/>
  <c r="AR13" i="50"/>
  <c r="BA13" i="50"/>
  <c r="AI13" i="50"/>
  <c r="BS13" i="50"/>
  <c r="BQ31" i="10"/>
  <c r="BN31" i="10"/>
  <c r="BJ31" i="10"/>
  <c r="BG31" i="10"/>
  <c r="BL31" i="10"/>
  <c r="BI31" i="10"/>
  <c r="BO31" i="10"/>
  <c r="BP31" i="10"/>
  <c r="BH31" i="10"/>
  <c r="BS31" i="10"/>
  <c r="BP89" i="10"/>
  <c r="BQ89" i="10"/>
  <c r="BJ89" i="10"/>
  <c r="BN89" i="10"/>
  <c r="BO89" i="10"/>
  <c r="BG89" i="10"/>
  <c r="BH89" i="10"/>
  <c r="BI89" i="10"/>
  <c r="BL89" i="10"/>
  <c r="BS89" i="10"/>
  <c r="BG97" i="10"/>
  <c r="BH97" i="10"/>
  <c r="BI97" i="10"/>
  <c r="BL97" i="10"/>
  <c r="BN97" i="10"/>
  <c r="BS97" i="10"/>
  <c r="BJ97" i="10"/>
  <c r="BP97" i="10"/>
  <c r="BQ97" i="10"/>
  <c r="BO97" i="10"/>
  <c r="BL70" i="10"/>
  <c r="BN70" i="10"/>
  <c r="BJ70" i="10"/>
  <c r="BS70" i="10"/>
  <c r="BG70" i="10"/>
  <c r="BH70" i="10"/>
  <c r="BP70" i="10"/>
  <c r="BQ70" i="10"/>
  <c r="BO70" i="10"/>
  <c r="BI70" i="10"/>
  <c r="BG49" i="10"/>
  <c r="BH49" i="10"/>
  <c r="BI49" i="10"/>
  <c r="BL49" i="10"/>
  <c r="BN49" i="10"/>
  <c r="BJ49" i="10"/>
  <c r="BS49" i="10"/>
  <c r="BP49" i="10"/>
  <c r="BQ49" i="10"/>
  <c r="BO49" i="10"/>
  <c r="BI106" i="10"/>
  <c r="BO106" i="10"/>
  <c r="BP106" i="10"/>
  <c r="BN106" i="10"/>
  <c r="BL106" i="10"/>
  <c r="BS106" i="10"/>
  <c r="BH106" i="10"/>
  <c r="BQ106" i="10"/>
  <c r="BG106" i="10"/>
  <c r="BJ106" i="10"/>
  <c r="T13" i="10"/>
  <c r="X13" i="10"/>
  <c r="AC13" i="10"/>
  <c r="AG13" i="10"/>
  <c r="AL13" i="10"/>
  <c r="AQ13" i="10"/>
  <c r="AU13" i="10"/>
  <c r="AZ13" i="10"/>
  <c r="BD13" i="10"/>
  <c r="BI13" i="10"/>
  <c r="BN13" i="10"/>
  <c r="U13" i="10"/>
  <c r="Y13" i="10"/>
  <c r="AD13" i="10"/>
  <c r="AI13" i="10"/>
  <c r="AM13" i="10"/>
  <c r="AR13" i="10"/>
  <c r="AV13" i="10"/>
  <c r="BA13" i="10"/>
  <c r="BE13" i="10"/>
  <c r="BJ13" i="10"/>
  <c r="BO13" i="10"/>
  <c r="BS13" i="10"/>
  <c r="V13" i="10"/>
  <c r="AA13" i="10"/>
  <c r="AE13" i="10"/>
  <c r="AJ13" i="10"/>
  <c r="AN13" i="10"/>
  <c r="AS13" i="10"/>
  <c r="AW13" i="10"/>
  <c r="BB13" i="10"/>
  <c r="BG13" i="10"/>
  <c r="BP13" i="10"/>
  <c r="W13" i="10"/>
  <c r="AO13" i="10"/>
  <c r="BH13" i="10"/>
  <c r="AB13" i="10"/>
  <c r="AT13" i="10"/>
  <c r="BL13" i="10"/>
  <c r="AF13" i="10"/>
  <c r="AY13" i="10"/>
  <c r="BQ13" i="10"/>
  <c r="S13" i="10"/>
  <c r="AK13" i="10"/>
  <c r="BC13" i="10"/>
  <c r="BO4" i="10"/>
  <c r="BP4" i="10"/>
  <c r="BQ4" i="10"/>
  <c r="BS4" i="10"/>
  <c r="BI4" i="10"/>
  <c r="BJ4" i="10"/>
  <c r="BG4" i="10"/>
  <c r="BH4" i="10"/>
  <c r="BN4" i="10"/>
  <c r="BL4" i="10"/>
  <c r="BS17" i="10"/>
  <c r="BN17" i="10"/>
  <c r="BP17" i="10"/>
  <c r="BG17" i="10"/>
  <c r="BQ17" i="10"/>
  <c r="BH17" i="10"/>
  <c r="BO17" i="10"/>
  <c r="BI17" i="10"/>
  <c r="BJ17" i="10"/>
  <c r="BL17" i="10"/>
  <c r="BL19" i="10"/>
  <c r="BN19" i="10"/>
  <c r="BO19" i="10"/>
  <c r="BJ19" i="10"/>
  <c r="BI19" i="10"/>
  <c r="BP19" i="10"/>
  <c r="BQ19" i="10"/>
  <c r="BG19" i="10"/>
  <c r="BH19" i="10"/>
  <c r="BS19" i="10"/>
  <c r="BQ20" i="10"/>
  <c r="BS20" i="10"/>
  <c r="BG20" i="10"/>
  <c r="BN20" i="10"/>
  <c r="BO20" i="10"/>
  <c r="BL20" i="10"/>
  <c r="BP20" i="10"/>
  <c r="BH20" i="10"/>
  <c r="BI20" i="10"/>
  <c r="BJ20" i="10"/>
  <c r="BG36" i="10"/>
  <c r="BH36" i="10"/>
  <c r="BS36" i="10"/>
  <c r="BJ36" i="10"/>
  <c r="BL36" i="10"/>
  <c r="BN36" i="10"/>
  <c r="BO36" i="10"/>
  <c r="BP36" i="10"/>
  <c r="BQ36" i="10"/>
  <c r="BI36" i="10"/>
  <c r="BS103" i="10"/>
  <c r="BN103" i="10"/>
  <c r="BG103" i="10"/>
  <c r="BH103" i="10"/>
  <c r="BP103" i="10"/>
  <c r="BJ103" i="10"/>
  <c r="BL103" i="10"/>
  <c r="BO103" i="10"/>
  <c r="BI103" i="10"/>
  <c r="BQ103" i="10"/>
  <c r="BO40" i="10"/>
  <c r="BP40" i="10"/>
  <c r="BQ40" i="10"/>
  <c r="BN40" i="10"/>
  <c r="BJ40" i="10"/>
  <c r="BL40" i="10"/>
  <c r="BS40" i="10"/>
  <c r="BG40" i="10"/>
  <c r="BH40" i="10"/>
  <c r="BS88" i="10"/>
  <c r="BP88" i="10"/>
  <c r="BG88" i="10"/>
  <c r="BH88" i="10"/>
  <c r="BQ88" i="10"/>
  <c r="BI88" i="10"/>
  <c r="BJ88" i="10"/>
  <c r="BL88" i="10"/>
  <c r="BN88" i="10"/>
  <c r="BO88" i="10"/>
  <c r="BS47" i="10"/>
  <c r="BG47" i="10"/>
  <c r="BO47" i="10"/>
  <c r="BI47" i="10"/>
  <c r="BJ47" i="10"/>
  <c r="BH47" i="10"/>
  <c r="BL47" i="10"/>
  <c r="BQ47" i="10"/>
  <c r="BN47" i="10"/>
  <c r="BI68" i="10"/>
  <c r="BJ68" i="10"/>
  <c r="BH68" i="10"/>
  <c r="BL68" i="10"/>
  <c r="BQ68" i="10"/>
  <c r="BN68" i="10"/>
  <c r="BO68" i="10"/>
  <c r="BP68" i="10"/>
  <c r="BS68" i="10"/>
  <c r="BG68" i="10"/>
  <c r="BS73" i="10"/>
  <c r="BO73" i="10"/>
  <c r="BQ73" i="10"/>
  <c r="BG73" i="10"/>
  <c r="BH73" i="10"/>
  <c r="BJ73" i="10"/>
  <c r="BL73" i="10"/>
  <c r="BN73" i="10"/>
  <c r="BP73" i="10"/>
  <c r="BI73" i="10"/>
  <c r="BS48" i="10"/>
  <c r="BG48" i="10"/>
  <c r="BH48" i="10"/>
  <c r="BO48" i="10"/>
  <c r="BQ48" i="10"/>
  <c r="BJ48" i="10"/>
  <c r="BL48" i="10"/>
  <c r="BI48" i="10"/>
  <c r="BN48" i="10"/>
  <c r="BH105" i="10"/>
  <c r="BI105" i="10"/>
  <c r="BJ105" i="10"/>
  <c r="BL105" i="10"/>
  <c r="BN105" i="10"/>
  <c r="BO105" i="10"/>
  <c r="BG105" i="10"/>
  <c r="BQ105" i="10"/>
  <c r="BP105" i="10"/>
  <c r="BS105" i="10"/>
  <c r="BS107" i="10"/>
  <c r="BN107" i="10"/>
  <c r="BQ107" i="10"/>
  <c r="BG107" i="10"/>
  <c r="BH107" i="10"/>
  <c r="BJ107" i="10"/>
  <c r="BL107" i="10"/>
  <c r="BO107" i="10"/>
  <c r="BP107" i="10"/>
  <c r="BI107" i="10"/>
  <c r="AA91" i="10"/>
  <c r="BH84" i="10"/>
  <c r="AC84" i="10"/>
  <c r="BI101" i="10"/>
  <c r="AD101" i="10"/>
  <c r="AL101" i="10"/>
  <c r="BP101" i="10"/>
  <c r="BS35" i="10"/>
  <c r="AM35" i="10"/>
  <c r="BI33" i="10"/>
  <c r="AD33" i="10"/>
  <c r="BP33" i="10"/>
  <c r="AL33" i="10"/>
  <c r="N44" i="50"/>
  <c r="V44" i="50" s="1"/>
  <c r="L32" i="51"/>
  <c r="BM32" i="50" s="1"/>
  <c r="L32" i="50"/>
  <c r="H30" i="39"/>
  <c r="B25" i="87"/>
  <c r="N3" i="10" s="1"/>
  <c r="O3" i="10" s="1"/>
  <c r="N3" i="51"/>
  <c r="O3" i="51" s="1"/>
  <c r="B23" i="1"/>
  <c r="B24" i="46"/>
  <c r="K68" i="50"/>
  <c r="K68" i="51"/>
  <c r="BJ68" i="50" s="1"/>
  <c r="N91" i="51"/>
  <c r="S91" i="51" s="1"/>
  <c r="N93" i="51"/>
  <c r="R93" i="51" s="1"/>
  <c r="K102" i="50"/>
  <c r="K102" i="51"/>
  <c r="BH102" i="50" s="1"/>
  <c r="H96" i="51"/>
  <c r="H96" i="50"/>
  <c r="H95" i="50"/>
  <c r="H95" i="51"/>
  <c r="H105" i="10"/>
  <c r="H105" i="50"/>
  <c r="H105" i="51"/>
  <c r="AE105" i="50" s="1"/>
  <c r="B23" i="73"/>
  <c r="H106" i="51"/>
  <c r="AE106" i="50" s="1"/>
  <c r="H106" i="50"/>
  <c r="B18" i="93"/>
  <c r="J107" i="10" s="1"/>
  <c r="H107" i="51"/>
  <c r="H107" i="50"/>
  <c r="H102" i="51"/>
  <c r="H102" i="50"/>
  <c r="K107" i="50"/>
  <c r="K107" i="51"/>
  <c r="BF107" i="50" s="1"/>
  <c r="J93" i="10"/>
  <c r="H93" i="50"/>
  <c r="H93" i="51"/>
  <c r="M92" i="50"/>
  <c r="M92" i="51"/>
  <c r="B18" i="72"/>
  <c r="J91" i="10" s="1"/>
  <c r="BR91" i="10" s="1"/>
  <c r="H91" i="51"/>
  <c r="H91" i="50"/>
  <c r="H88" i="51"/>
  <c r="H88" i="50"/>
  <c r="L88" i="51"/>
  <c r="BN88" i="50" s="1"/>
  <c r="L88" i="50"/>
  <c r="H87" i="51"/>
  <c r="H87" i="50"/>
  <c r="K87" i="51"/>
  <c r="BG87" i="50" s="1"/>
  <c r="K87" i="50"/>
  <c r="L85" i="50"/>
  <c r="L85" i="51"/>
  <c r="BP85" i="50" s="1"/>
  <c r="J85" i="51"/>
  <c r="J85" i="50"/>
  <c r="H67" i="10"/>
  <c r="AF67" i="10" s="1"/>
  <c r="H67" i="50"/>
  <c r="H67" i="51"/>
  <c r="K67" i="50"/>
  <c r="K67" i="51"/>
  <c r="BJ67" i="50" s="1"/>
  <c r="H54" i="51"/>
  <c r="H54" i="50"/>
  <c r="K52" i="51"/>
  <c r="BK52" i="50" s="1"/>
  <c r="K52" i="50"/>
  <c r="H49" i="51"/>
  <c r="H49" i="50"/>
  <c r="H50" i="51"/>
  <c r="H50" i="50"/>
  <c r="H51" i="51"/>
  <c r="H51" i="50"/>
  <c r="K50" i="50"/>
  <c r="K50" i="51"/>
  <c r="BH50" i="50" s="1"/>
  <c r="J51" i="50"/>
  <c r="J51" i="51"/>
  <c r="H49" i="10"/>
  <c r="H47" i="51"/>
  <c r="H47" i="50"/>
  <c r="J47" i="50"/>
  <c r="J47" i="51"/>
  <c r="J46" i="50"/>
  <c r="J46" i="51"/>
  <c r="H44" i="50"/>
  <c r="H44" i="51"/>
  <c r="H45" i="50"/>
  <c r="H45" i="51"/>
  <c r="K43" i="50"/>
  <c r="K43" i="51"/>
  <c r="BH43" i="50" s="1"/>
  <c r="H43" i="50"/>
  <c r="H43" i="51"/>
  <c r="K44" i="50"/>
  <c r="K44" i="51"/>
  <c r="BH44" i="50" s="1"/>
  <c r="H46" i="50"/>
  <c r="H46" i="51"/>
  <c r="O38" i="10"/>
  <c r="M32" i="51"/>
  <c r="M32" i="50"/>
  <c r="M31" i="10"/>
  <c r="M31" i="51"/>
  <c r="M31" i="50"/>
  <c r="O21" i="10"/>
  <c r="M21" i="10"/>
  <c r="M21" i="51"/>
  <c r="M21" i="50"/>
  <c r="M19" i="50"/>
  <c r="M19" i="51"/>
  <c r="M18" i="51"/>
  <c r="M18" i="50"/>
  <c r="M17" i="51"/>
  <c r="M17" i="50"/>
  <c r="M14" i="50"/>
  <c r="M14" i="51"/>
  <c r="M13" i="51"/>
  <c r="M13" i="50"/>
  <c r="O13" i="10"/>
  <c r="M7" i="51"/>
  <c r="M7" i="50"/>
  <c r="M6" i="51"/>
  <c r="M6" i="50"/>
  <c r="M5" i="51"/>
  <c r="M5" i="50"/>
  <c r="M5" i="10"/>
  <c r="M4" i="50"/>
  <c r="M4" i="51"/>
  <c r="M3" i="50"/>
  <c r="M3" i="51"/>
  <c r="M2" i="50"/>
  <c r="M2" i="51"/>
  <c r="K16" i="50"/>
  <c r="K16" i="51"/>
  <c r="BH16" i="50" s="1"/>
  <c r="K55" i="50"/>
  <c r="K55" i="51"/>
  <c r="BG55" i="50" s="1"/>
  <c r="M2" i="10"/>
  <c r="M32" i="10"/>
  <c r="M18" i="10"/>
  <c r="N102" i="50"/>
  <c r="B25" i="38"/>
  <c r="N102" i="10" s="1"/>
  <c r="O102" i="10" s="1"/>
  <c r="K68" i="10"/>
  <c r="AV68" i="10" s="1"/>
  <c r="B25" i="3"/>
  <c r="N14" i="10" s="1"/>
  <c r="L108" i="10"/>
  <c r="AY108" i="10" s="1"/>
  <c r="N108" i="51"/>
  <c r="R108" i="51" s="1"/>
  <c r="B25" i="29"/>
  <c r="N85" i="10" s="1"/>
  <c r="BT2" i="50"/>
  <c r="BT128" i="50" s="1"/>
  <c r="O73" i="10"/>
  <c r="R98" i="10"/>
  <c r="R86" i="10"/>
  <c r="R102" i="10"/>
  <c r="R7" i="50"/>
  <c r="R39" i="50"/>
  <c r="R43" i="50"/>
  <c r="R106" i="50"/>
  <c r="R107" i="50"/>
  <c r="V13" i="51"/>
  <c r="W13" i="51"/>
  <c r="S13" i="51"/>
  <c r="T13" i="51"/>
  <c r="Y13" i="51"/>
  <c r="X13" i="51"/>
  <c r="R13" i="51"/>
  <c r="U13" i="51"/>
  <c r="V17" i="51"/>
  <c r="U17" i="51"/>
  <c r="Y17" i="51"/>
  <c r="X17" i="51"/>
  <c r="S17" i="51"/>
  <c r="T17" i="51"/>
  <c r="W17" i="51"/>
  <c r="R17" i="51"/>
  <c r="U6" i="51"/>
  <c r="Y6" i="51"/>
  <c r="T6" i="51"/>
  <c r="X6" i="51"/>
  <c r="S6" i="51"/>
  <c r="V6" i="51"/>
  <c r="W6" i="51"/>
  <c r="R6" i="51"/>
  <c r="T38" i="51"/>
  <c r="X38" i="51"/>
  <c r="S38" i="51"/>
  <c r="W38" i="51"/>
  <c r="V38" i="51"/>
  <c r="R38" i="51"/>
  <c r="Y38" i="51"/>
  <c r="U38" i="51"/>
  <c r="T91" i="51"/>
  <c r="X91" i="51"/>
  <c r="W91" i="51"/>
  <c r="V91" i="51"/>
  <c r="Y91" i="51"/>
  <c r="U91" i="51"/>
  <c r="R89" i="10"/>
  <c r="R35" i="50"/>
  <c r="R54" i="50"/>
  <c r="R73" i="50"/>
  <c r="R91" i="50"/>
  <c r="T16" i="51"/>
  <c r="X16" i="51"/>
  <c r="S16" i="51"/>
  <c r="W16" i="51"/>
  <c r="V16" i="51"/>
  <c r="R16" i="51"/>
  <c r="Y16" i="51"/>
  <c r="U16" i="51"/>
  <c r="T5" i="51"/>
  <c r="X5" i="51"/>
  <c r="S5" i="51"/>
  <c r="W5" i="51"/>
  <c r="R5" i="51"/>
  <c r="U5" i="51"/>
  <c r="V5" i="51"/>
  <c r="Y5" i="51"/>
  <c r="R103" i="51"/>
  <c r="U33" i="51"/>
  <c r="Y33" i="51"/>
  <c r="T33" i="51"/>
  <c r="X33" i="51"/>
  <c r="W33" i="51"/>
  <c r="R33" i="51"/>
  <c r="V33" i="51"/>
  <c r="S33" i="51"/>
  <c r="S45" i="51"/>
  <c r="W45" i="51"/>
  <c r="V45" i="51"/>
  <c r="Y45" i="51"/>
  <c r="T45" i="51"/>
  <c r="U45" i="51"/>
  <c r="R45" i="51"/>
  <c r="X45" i="51"/>
  <c r="U86" i="51"/>
  <c r="Y86" i="51"/>
  <c r="T86" i="51"/>
  <c r="X86" i="51"/>
  <c r="S86" i="51"/>
  <c r="R86" i="51"/>
  <c r="V86" i="51"/>
  <c r="W86" i="51"/>
  <c r="V87" i="51"/>
  <c r="U87" i="51"/>
  <c r="Y87" i="51"/>
  <c r="T87" i="51"/>
  <c r="W87" i="51"/>
  <c r="X87" i="51"/>
  <c r="S87" i="51"/>
  <c r="R87" i="51"/>
  <c r="V102" i="51"/>
  <c r="U102" i="51"/>
  <c r="Y102" i="51"/>
  <c r="X102" i="51"/>
  <c r="R102" i="51"/>
  <c r="S102" i="51"/>
  <c r="T102" i="51"/>
  <c r="W102" i="51"/>
  <c r="T97" i="51"/>
  <c r="X97" i="51"/>
  <c r="S97" i="51"/>
  <c r="W97" i="51"/>
  <c r="R97" i="51"/>
  <c r="U97" i="51"/>
  <c r="V97" i="51"/>
  <c r="Y97" i="51"/>
  <c r="T47" i="51"/>
  <c r="X47" i="51"/>
  <c r="S47" i="51"/>
  <c r="W47" i="51"/>
  <c r="R47" i="51"/>
  <c r="V47" i="51"/>
  <c r="Y47" i="51"/>
  <c r="U47" i="51"/>
  <c r="V93" i="51"/>
  <c r="U93" i="51"/>
  <c r="X93" i="51"/>
  <c r="T93" i="51"/>
  <c r="W93" i="51"/>
  <c r="T68" i="51"/>
  <c r="X68" i="51"/>
  <c r="S68" i="51"/>
  <c r="W68" i="51"/>
  <c r="R68" i="51"/>
  <c r="U68" i="51"/>
  <c r="Y68" i="51"/>
  <c r="V68" i="51"/>
  <c r="T72" i="51"/>
  <c r="X72" i="51"/>
  <c r="S72" i="51"/>
  <c r="W72" i="51"/>
  <c r="R72" i="51"/>
  <c r="V72" i="51"/>
  <c r="Y72" i="51"/>
  <c r="U72" i="51"/>
  <c r="U108" i="51"/>
  <c r="Y108" i="51"/>
  <c r="T108" i="51"/>
  <c r="X108" i="51"/>
  <c r="W108" i="51"/>
  <c r="V108" i="51"/>
  <c r="R2" i="10"/>
  <c r="R3" i="10"/>
  <c r="R42" i="10"/>
  <c r="R88" i="10"/>
  <c r="R96" i="10"/>
  <c r="R97" i="10"/>
  <c r="O32" i="10"/>
  <c r="O18" i="10"/>
  <c r="O5" i="10"/>
  <c r="O6" i="10"/>
  <c r="R19" i="10"/>
  <c r="R20" i="10"/>
  <c r="R101" i="10"/>
  <c r="R84" i="10"/>
  <c r="R103" i="10"/>
  <c r="R33" i="10"/>
  <c r="R109" i="10"/>
  <c r="R87" i="10"/>
  <c r="R92" i="10"/>
  <c r="R55" i="10"/>
  <c r="R73" i="10"/>
  <c r="R107" i="10"/>
  <c r="R108" i="10"/>
  <c r="S2" i="50"/>
  <c r="W2" i="50"/>
  <c r="V2" i="50"/>
  <c r="Y2" i="50"/>
  <c r="T2" i="50"/>
  <c r="U2" i="50"/>
  <c r="X2" i="50"/>
  <c r="R2" i="50"/>
  <c r="R14" i="50"/>
  <c r="R3" i="50"/>
  <c r="R4" i="50"/>
  <c r="R17" i="50"/>
  <c r="R18" i="50"/>
  <c r="R19" i="50"/>
  <c r="R83" i="50"/>
  <c r="R37" i="50"/>
  <c r="R103" i="50"/>
  <c r="R109" i="50"/>
  <c r="R86" i="50"/>
  <c r="R87" i="50"/>
  <c r="R88" i="50"/>
  <c r="R102" i="50"/>
  <c r="R95" i="50"/>
  <c r="R49" i="50"/>
  <c r="R50" i="50"/>
  <c r="R51" i="50"/>
  <c r="R105" i="50"/>
  <c r="BP2" i="50"/>
  <c r="BO2" i="50"/>
  <c r="BS2" i="50"/>
  <c r="BR2" i="50"/>
  <c r="BF2" i="50"/>
  <c r="BQ2" i="50"/>
  <c r="BE2" i="50"/>
  <c r="BI2" i="50"/>
  <c r="BH2" i="50"/>
  <c r="BG2" i="50"/>
  <c r="AX2" i="50"/>
  <c r="BB2" i="50"/>
  <c r="BK2" i="50"/>
  <c r="BA2" i="50"/>
  <c r="BJ2" i="50"/>
  <c r="AZ2" i="50"/>
  <c r="AO2" i="50"/>
  <c r="AS2" i="50"/>
  <c r="AQ2" i="50"/>
  <c r="AJ2" i="50"/>
  <c r="BM2" i="50"/>
  <c r="BC2" i="50"/>
  <c r="AP2" i="50"/>
  <c r="AU2" i="50"/>
  <c r="AI2" i="50"/>
  <c r="AM2" i="50"/>
  <c r="AW2" i="50"/>
  <c r="BN2" i="50"/>
  <c r="AY2" i="50"/>
  <c r="AT2" i="50"/>
  <c r="AK2" i="50"/>
  <c r="AR2" i="50"/>
  <c r="AH2" i="50"/>
  <c r="AA2" i="50"/>
  <c r="AF2" i="50"/>
  <c r="V2" i="51"/>
  <c r="AD2" i="50"/>
  <c r="U2" i="51"/>
  <c r="Y2" i="51"/>
  <c r="AB2" i="50"/>
  <c r="X2" i="51"/>
  <c r="AC2" i="50"/>
  <c r="S2" i="51"/>
  <c r="R2" i="51"/>
  <c r="T2" i="51"/>
  <c r="W2" i="51"/>
  <c r="S15" i="51"/>
  <c r="W15" i="51"/>
  <c r="V15" i="51"/>
  <c r="U15" i="51"/>
  <c r="X15" i="51"/>
  <c r="Y15" i="51"/>
  <c r="T15" i="51"/>
  <c r="R15" i="51"/>
  <c r="S18" i="51"/>
  <c r="W18" i="51"/>
  <c r="V18" i="51"/>
  <c r="Y18" i="51"/>
  <c r="T18" i="51"/>
  <c r="R18" i="51"/>
  <c r="X18" i="51"/>
  <c r="U18" i="51"/>
  <c r="V19" i="51"/>
  <c r="U19" i="51"/>
  <c r="Y19" i="51"/>
  <c r="T19" i="51"/>
  <c r="W19" i="51"/>
  <c r="X19" i="51"/>
  <c r="R19" i="51"/>
  <c r="S19" i="51"/>
  <c r="S20" i="51"/>
  <c r="W20" i="51"/>
  <c r="V20" i="51"/>
  <c r="U20" i="51"/>
  <c r="X20" i="51"/>
  <c r="Y20" i="51"/>
  <c r="T20" i="51"/>
  <c r="R20" i="51"/>
  <c r="T39" i="51"/>
  <c r="X39" i="51"/>
  <c r="S39" i="51"/>
  <c r="W39" i="51"/>
  <c r="R39" i="51"/>
  <c r="U39" i="51"/>
  <c r="V39" i="51"/>
  <c r="Y39" i="51"/>
  <c r="U40" i="51"/>
  <c r="Y40" i="51"/>
  <c r="T40" i="51"/>
  <c r="X40" i="51"/>
  <c r="S40" i="51"/>
  <c r="W40" i="51"/>
  <c r="S42" i="51"/>
  <c r="W42" i="51"/>
  <c r="V42" i="51"/>
  <c r="U42" i="51"/>
  <c r="X42" i="51"/>
  <c r="Y42" i="51"/>
  <c r="T42" i="51"/>
  <c r="R42" i="51"/>
  <c r="T89" i="51"/>
  <c r="X89" i="51"/>
  <c r="S89" i="51"/>
  <c r="W89" i="51"/>
  <c r="R89" i="51"/>
  <c r="V89" i="51"/>
  <c r="Y89" i="51"/>
  <c r="U89" i="51"/>
  <c r="U54" i="51"/>
  <c r="Y54" i="51"/>
  <c r="T54" i="51"/>
  <c r="X54" i="51"/>
  <c r="S54" i="51"/>
  <c r="V54" i="51"/>
  <c r="W54" i="51"/>
  <c r="R54" i="51"/>
  <c r="U95" i="51"/>
  <c r="Y95" i="51"/>
  <c r="T95" i="51"/>
  <c r="X95" i="51"/>
  <c r="W95" i="51"/>
  <c r="R95" i="51"/>
  <c r="S95" i="51"/>
  <c r="V95" i="51"/>
  <c r="U48" i="51"/>
  <c r="Y48" i="51"/>
  <c r="T48" i="51"/>
  <c r="X48" i="51"/>
  <c r="W48" i="51"/>
  <c r="R48" i="51"/>
  <c r="S48" i="51"/>
  <c r="V48" i="51"/>
  <c r="V49" i="51"/>
  <c r="U49" i="51"/>
  <c r="Y49" i="51"/>
  <c r="X49" i="51"/>
  <c r="S49" i="51"/>
  <c r="T49" i="51"/>
  <c r="W49" i="51"/>
  <c r="R49" i="51"/>
  <c r="S50" i="51"/>
  <c r="W50" i="51"/>
  <c r="Y50" i="51"/>
  <c r="T50" i="51"/>
  <c r="X50" i="51"/>
  <c r="U50" i="51"/>
  <c r="R6" i="10"/>
  <c r="R21" i="10"/>
  <c r="R106" i="10"/>
  <c r="R13" i="50"/>
  <c r="R40" i="50"/>
  <c r="R42" i="50"/>
  <c r="U4" i="51"/>
  <c r="Y4" i="51"/>
  <c r="T4" i="51"/>
  <c r="X4" i="51"/>
  <c r="W4" i="51"/>
  <c r="S4" i="51"/>
  <c r="R4" i="51"/>
  <c r="V4" i="51"/>
  <c r="U43" i="51"/>
  <c r="Y43" i="51"/>
  <c r="T43" i="51"/>
  <c r="X43" i="51"/>
  <c r="W43" i="51"/>
  <c r="S43" i="51"/>
  <c r="R43" i="51"/>
  <c r="V43" i="51"/>
  <c r="S88" i="51"/>
  <c r="W88" i="51"/>
  <c r="V88" i="51"/>
  <c r="U88" i="51"/>
  <c r="X88" i="51"/>
  <c r="Y88" i="51"/>
  <c r="R88" i="51"/>
  <c r="T88" i="51"/>
  <c r="S96" i="51"/>
  <c r="W96" i="51"/>
  <c r="V96" i="51"/>
  <c r="Y96" i="51"/>
  <c r="T96" i="51"/>
  <c r="U96" i="51"/>
  <c r="R96" i="51"/>
  <c r="X96" i="51"/>
  <c r="V70" i="51"/>
  <c r="U70" i="51"/>
  <c r="Y70" i="51"/>
  <c r="T70" i="51"/>
  <c r="W70" i="51"/>
  <c r="R70" i="51"/>
  <c r="X70" i="51"/>
  <c r="S70" i="51"/>
  <c r="S73" i="51"/>
  <c r="W73" i="51"/>
  <c r="R73" i="51"/>
  <c r="V73" i="51"/>
  <c r="U73" i="51"/>
  <c r="X73" i="51"/>
  <c r="Y73" i="51"/>
  <c r="T73" i="51"/>
  <c r="R31" i="10"/>
  <c r="R32" i="10"/>
  <c r="R4" i="10"/>
  <c r="R17" i="10"/>
  <c r="R18" i="10"/>
  <c r="R5" i="10"/>
  <c r="R6" i="50"/>
  <c r="R98" i="50"/>
  <c r="R84" i="50"/>
  <c r="R44" i="50"/>
  <c r="R96" i="50"/>
  <c r="R97" i="50"/>
  <c r="T3" i="51"/>
  <c r="X3" i="51"/>
  <c r="S3" i="51"/>
  <c r="W3" i="51"/>
  <c r="U3" i="51"/>
  <c r="R3" i="51"/>
  <c r="V3" i="51"/>
  <c r="Y3" i="51"/>
  <c r="U31" i="51"/>
  <c r="Y31" i="51"/>
  <c r="T31" i="51"/>
  <c r="X31" i="51"/>
  <c r="S31" i="51"/>
  <c r="V31" i="51"/>
  <c r="W31" i="51"/>
  <c r="R31" i="51"/>
  <c r="V32" i="51"/>
  <c r="U32" i="51"/>
  <c r="Y32" i="51"/>
  <c r="T32" i="51"/>
  <c r="W32" i="51"/>
  <c r="R32" i="51"/>
  <c r="X32" i="51"/>
  <c r="S32" i="51"/>
  <c r="S109" i="51"/>
  <c r="W109" i="51"/>
  <c r="V109" i="51"/>
  <c r="Y109" i="51"/>
  <c r="T109" i="51"/>
  <c r="R109" i="51"/>
  <c r="U109" i="51"/>
  <c r="X109" i="51"/>
  <c r="V44" i="51"/>
  <c r="U44" i="51"/>
  <c r="Y44" i="51"/>
  <c r="X44" i="51"/>
  <c r="S44" i="51"/>
  <c r="T44" i="51"/>
  <c r="W44" i="51"/>
  <c r="R44" i="51"/>
  <c r="T46" i="51"/>
  <c r="X46" i="51"/>
  <c r="S46" i="51"/>
  <c r="W46" i="51"/>
  <c r="R46" i="51"/>
  <c r="U46" i="51"/>
  <c r="Y46" i="51"/>
  <c r="V46" i="51"/>
  <c r="V55" i="51"/>
  <c r="U55" i="51"/>
  <c r="Y55" i="51"/>
  <c r="T55" i="51"/>
  <c r="W55" i="51"/>
  <c r="R55" i="51"/>
  <c r="X55" i="51"/>
  <c r="S55" i="51"/>
  <c r="U105" i="51"/>
  <c r="T105" i="51"/>
  <c r="X105" i="51"/>
  <c r="V105" i="51"/>
  <c r="W105" i="51"/>
  <c r="S107" i="51"/>
  <c r="W107" i="51"/>
  <c r="R107" i="51"/>
  <c r="V107" i="51"/>
  <c r="U107" i="51"/>
  <c r="X107" i="51"/>
  <c r="T107" i="51"/>
  <c r="Y107" i="51"/>
  <c r="R13" i="10"/>
  <c r="R38" i="10"/>
  <c r="R52" i="10"/>
  <c r="R43" i="10"/>
  <c r="R54" i="10"/>
  <c r="R95" i="10"/>
  <c r="R49" i="10"/>
  <c r="R31" i="50"/>
  <c r="R32" i="50"/>
  <c r="R5" i="50"/>
  <c r="R20" i="50"/>
  <c r="R21" i="50"/>
  <c r="R101" i="50"/>
  <c r="R36" i="50"/>
  <c r="R38" i="50"/>
  <c r="R89" i="50"/>
  <c r="R92" i="50"/>
  <c r="R93" i="50"/>
  <c r="R48" i="50"/>
  <c r="R108" i="50"/>
  <c r="S14" i="51"/>
  <c r="W14" i="51"/>
  <c r="V14" i="51"/>
  <c r="Y14" i="51"/>
  <c r="T14" i="51"/>
  <c r="U14" i="51"/>
  <c r="R14" i="51"/>
  <c r="X14" i="51"/>
  <c r="T7" i="51"/>
  <c r="X7" i="51"/>
  <c r="S7" i="51"/>
  <c r="W7" i="51"/>
  <c r="V7" i="51"/>
  <c r="R7" i="51"/>
  <c r="Y7" i="51"/>
  <c r="U7" i="51"/>
  <c r="U21" i="51"/>
  <c r="Y21" i="51"/>
  <c r="T21" i="51"/>
  <c r="X21" i="51"/>
  <c r="W21" i="51"/>
  <c r="S21" i="51"/>
  <c r="R21" i="51"/>
  <c r="V21" i="51"/>
  <c r="V101" i="51"/>
  <c r="U101" i="51"/>
  <c r="Y101" i="51"/>
  <c r="X101" i="51"/>
  <c r="S101" i="51"/>
  <c r="W101" i="51"/>
  <c r="T101" i="51"/>
  <c r="R101" i="51"/>
  <c r="S83" i="51"/>
  <c r="X83" i="51"/>
  <c r="W83" i="51"/>
  <c r="T83" i="51"/>
  <c r="U83" i="51"/>
  <c r="Y83" i="51"/>
  <c r="U98" i="51"/>
  <c r="Y98" i="51"/>
  <c r="T98" i="51"/>
  <c r="X98" i="51"/>
  <c r="V98" i="51"/>
  <c r="W98" i="51"/>
  <c r="W84" i="51"/>
  <c r="V84" i="51"/>
  <c r="T84" i="51"/>
  <c r="X84" i="51"/>
  <c r="Y84" i="51"/>
  <c r="S84" i="51"/>
  <c r="U92" i="51"/>
  <c r="Y92" i="51"/>
  <c r="T92" i="51"/>
  <c r="X92" i="51"/>
  <c r="W92" i="51"/>
  <c r="V92" i="51"/>
  <c r="R92" i="51"/>
  <c r="S92" i="51"/>
  <c r="S67" i="51"/>
  <c r="W67" i="51"/>
  <c r="R67" i="51"/>
  <c r="V67" i="51"/>
  <c r="Y67" i="51"/>
  <c r="T67" i="51"/>
  <c r="U67" i="51"/>
  <c r="X67" i="51"/>
  <c r="U69" i="51"/>
  <c r="Y69" i="51"/>
  <c r="T69" i="51"/>
  <c r="X69" i="51"/>
  <c r="S69" i="51"/>
  <c r="V69" i="51"/>
  <c r="W69" i="51"/>
  <c r="R69" i="51"/>
  <c r="T51" i="51"/>
  <c r="X51" i="51"/>
  <c r="S51" i="51"/>
  <c r="W51" i="51"/>
  <c r="U51" i="51"/>
  <c r="Y51" i="51"/>
  <c r="V106" i="51"/>
  <c r="U106" i="51"/>
  <c r="Y106" i="51"/>
  <c r="T106" i="51"/>
  <c r="W106" i="51"/>
  <c r="R106" i="51"/>
  <c r="X106" i="51"/>
  <c r="S106" i="51"/>
  <c r="R83" i="10"/>
  <c r="X85" i="51"/>
  <c r="Y85" i="51"/>
  <c r="S85" i="51"/>
  <c r="W85" i="51"/>
  <c r="T85" i="51"/>
  <c r="U85" i="51"/>
  <c r="R85" i="10"/>
  <c r="R85" i="50"/>
  <c r="V103" i="51"/>
  <c r="T103" i="51"/>
  <c r="U103" i="51"/>
  <c r="S103" i="51"/>
  <c r="W103" i="51"/>
  <c r="X103" i="51"/>
  <c r="Y103" i="51"/>
  <c r="S37" i="51"/>
  <c r="U37" i="51"/>
  <c r="V37" i="51"/>
  <c r="T37" i="51"/>
  <c r="X37" i="51"/>
  <c r="T36" i="51"/>
  <c r="X36" i="51"/>
  <c r="S36" i="51"/>
  <c r="U36" i="51"/>
  <c r="V36" i="51"/>
  <c r="V35" i="51"/>
  <c r="T35" i="51"/>
  <c r="S35" i="51"/>
  <c r="X35" i="51"/>
  <c r="R84" i="51"/>
  <c r="U84" i="51"/>
  <c r="R83" i="51"/>
  <c r="V83" i="51"/>
  <c r="R33" i="50"/>
  <c r="AR2" i="10"/>
  <c r="AR136" i="10" s="1"/>
  <c r="AR138" i="10" s="1"/>
  <c r="O6" i="50"/>
  <c r="O31" i="50"/>
  <c r="O32" i="50"/>
  <c r="O19" i="50"/>
  <c r="Y2" i="10"/>
  <c r="O19" i="10"/>
  <c r="O31" i="10"/>
  <c r="B25" i="93"/>
  <c r="N107" i="10" s="1"/>
  <c r="N107" i="51"/>
  <c r="H107" i="10"/>
  <c r="N106" i="10"/>
  <c r="K107" i="10"/>
  <c r="B23" i="93"/>
  <c r="B26" i="73"/>
  <c r="B18" i="73"/>
  <c r="B23" i="84"/>
  <c r="H50" i="10"/>
  <c r="AD50" i="10" s="1"/>
  <c r="B21" i="85"/>
  <c r="K51" i="10" s="1"/>
  <c r="AT51" i="10" s="1"/>
  <c r="N51" i="51"/>
  <c r="V51" i="51" s="1"/>
  <c r="B21" i="57"/>
  <c r="B19" i="57"/>
  <c r="O73" i="50"/>
  <c r="N55" i="50"/>
  <c r="U55" i="50" s="1"/>
  <c r="M68" i="10"/>
  <c r="B23" i="46"/>
  <c r="H93" i="10"/>
  <c r="J47" i="10"/>
  <c r="AL47" i="10" s="1"/>
  <c r="N47" i="50"/>
  <c r="V47" i="50" s="1"/>
  <c r="H54" i="10"/>
  <c r="O54" i="10" s="1"/>
  <c r="B19" i="40"/>
  <c r="N97" i="50" s="1"/>
  <c r="N96" i="50"/>
  <c r="N96" i="10"/>
  <c r="H96" i="10"/>
  <c r="L96" i="10"/>
  <c r="M89" i="10"/>
  <c r="N88" i="51"/>
  <c r="L88" i="10"/>
  <c r="H88" i="10"/>
  <c r="O88" i="10" s="1"/>
  <c r="B21" i="33"/>
  <c r="H87" i="10"/>
  <c r="O87" i="10" s="1"/>
  <c r="K87" i="10"/>
  <c r="B22" i="32"/>
  <c r="N86" i="51"/>
  <c r="B17" i="29"/>
  <c r="N85" i="51"/>
  <c r="R85" i="51" s="1"/>
  <c r="L85" i="10"/>
  <c r="B21" i="29"/>
  <c r="J85" i="10"/>
  <c r="J46" i="10"/>
  <c r="AL46" i="10" s="1"/>
  <c r="B25" i="94"/>
  <c r="B26" i="94" s="1"/>
  <c r="H43" i="10"/>
  <c r="N43" i="50"/>
  <c r="B25" i="26"/>
  <c r="N43" i="10" s="1"/>
  <c r="B27" i="18"/>
  <c r="B27" i="76"/>
  <c r="B27" i="77"/>
  <c r="B27" i="78"/>
  <c r="N102" i="51"/>
  <c r="M7" i="10"/>
  <c r="O7" i="50"/>
  <c r="O20" i="50"/>
  <c r="O5" i="50"/>
  <c r="O17" i="50"/>
  <c r="O18" i="50"/>
  <c r="O4" i="50"/>
  <c r="L20" i="5"/>
  <c r="K20" i="5" s="1"/>
  <c r="N16" i="5" s="1"/>
  <c r="B25" i="5" s="1"/>
  <c r="N15" i="10" s="1"/>
  <c r="V15" i="10" s="1"/>
  <c r="H51" i="10"/>
  <c r="AD51" i="10" s="1"/>
  <c r="B21" i="5"/>
  <c r="N15" i="50"/>
  <c r="V15" i="50" s="1"/>
  <c r="B27" i="69"/>
  <c r="B27" i="20"/>
  <c r="B27" i="24"/>
  <c r="B27" i="21"/>
  <c r="B27" i="22"/>
  <c r="B27" i="12"/>
  <c r="B27" i="95"/>
  <c r="O72" i="51"/>
  <c r="J72" i="10"/>
  <c r="AN72" i="10" s="1"/>
  <c r="O73" i="51"/>
  <c r="N70" i="10"/>
  <c r="X70" i="10" s="1"/>
  <c r="N69" i="10"/>
  <c r="X69" i="10" s="1"/>
  <c r="O69" i="51"/>
  <c r="H69" i="10"/>
  <c r="AF69" i="10" s="1"/>
  <c r="B19" i="45"/>
  <c r="B23" i="45"/>
  <c r="K67" i="10"/>
  <c r="AV67" i="10" s="1"/>
  <c r="B24" i="45"/>
  <c r="N95" i="51"/>
  <c r="B22" i="44"/>
  <c r="L14" i="44"/>
  <c r="B18" i="44"/>
  <c r="M14" i="44"/>
  <c r="J51" i="10"/>
  <c r="AL51" i="10" s="1"/>
  <c r="K50" i="10"/>
  <c r="AT50" i="10" s="1"/>
  <c r="B24" i="84"/>
  <c r="B25" i="84"/>
  <c r="J50" i="10"/>
  <c r="AL50" i="10" s="1"/>
  <c r="N50" i="51"/>
  <c r="R50" i="51" s="1"/>
  <c r="J49" i="10"/>
  <c r="B21" i="83"/>
  <c r="B25" i="83"/>
  <c r="K48" i="10"/>
  <c r="AT48" i="10" s="1"/>
  <c r="J48" i="10"/>
  <c r="AL48" i="10" s="1"/>
  <c r="K102" i="10"/>
  <c r="B23" i="38"/>
  <c r="B24" i="38"/>
  <c r="L86" i="10"/>
  <c r="B23" i="42"/>
  <c r="K55" i="10"/>
  <c r="AS55" i="10" s="1"/>
  <c r="B24" i="42"/>
  <c r="N46" i="10"/>
  <c r="N46" i="50"/>
  <c r="H46" i="10"/>
  <c r="AD46" i="10" s="1"/>
  <c r="H45" i="10"/>
  <c r="AD45" i="10" s="1"/>
  <c r="B21" i="27"/>
  <c r="N45" i="50"/>
  <c r="V45" i="50" s="1"/>
  <c r="B25" i="27"/>
  <c r="N45" i="10" s="1"/>
  <c r="V45" i="10" s="1"/>
  <c r="K44" i="10"/>
  <c r="AT44" i="10" s="1"/>
  <c r="B23" i="94"/>
  <c r="H44" i="10"/>
  <c r="AD44" i="10" s="1"/>
  <c r="B24" i="94"/>
  <c r="B24" i="26"/>
  <c r="K43" i="10"/>
  <c r="B23" i="26"/>
  <c r="O2" i="10"/>
  <c r="O17" i="10"/>
  <c r="O20" i="10"/>
  <c r="O55" i="10"/>
  <c r="O48" i="50"/>
  <c r="O103" i="10"/>
  <c r="L36" i="10"/>
  <c r="BC36" i="10" s="1"/>
  <c r="N36" i="51"/>
  <c r="R36" i="51" s="1"/>
  <c r="M19" i="10"/>
  <c r="M6" i="10"/>
  <c r="M13" i="10"/>
  <c r="N7" i="10"/>
  <c r="M4" i="10"/>
  <c r="N4" i="10"/>
  <c r="O42" i="10"/>
  <c r="O89" i="10"/>
  <c r="O48" i="51"/>
  <c r="O101" i="10"/>
  <c r="O70" i="51"/>
  <c r="O13" i="50"/>
  <c r="O2" i="50"/>
  <c r="O3" i="50"/>
  <c r="O108" i="50"/>
  <c r="BS2" i="10"/>
  <c r="BC2" i="10"/>
  <c r="AT2" i="10"/>
  <c r="AK2" i="10"/>
  <c r="AK136" i="10" s="1"/>
  <c r="AK138" i="10" s="1"/>
  <c r="W2" i="10"/>
  <c r="AS2" i="10"/>
  <c r="AS136" i="10" s="1"/>
  <c r="AS138" i="10" s="1"/>
  <c r="AE2" i="10"/>
  <c r="V2" i="10"/>
  <c r="BD2" i="10"/>
  <c r="BD136" i="10" s="1"/>
  <c r="BD138" i="10" s="1"/>
  <c r="AZ2" i="10"/>
  <c r="AZ136" i="10" s="1"/>
  <c r="AZ138" i="10" s="1"/>
  <c r="AU2" i="10"/>
  <c r="AQ2" i="10"/>
  <c r="AL2" i="10"/>
  <c r="AG2" i="10"/>
  <c r="AC2" i="10"/>
  <c r="AC136" i="10" s="1"/>
  <c r="AC138" i="10" s="1"/>
  <c r="X2" i="10"/>
  <c r="T2" i="10"/>
  <c r="T136" i="10" s="1"/>
  <c r="T138" i="10" s="1"/>
  <c r="AY2" i="10"/>
  <c r="AO2" i="10"/>
  <c r="AF2" i="10"/>
  <c r="AB2" i="10"/>
  <c r="AB136" i="10" s="1"/>
  <c r="AB138" i="10" s="1"/>
  <c r="S2" i="10"/>
  <c r="BJ2" i="10"/>
  <c r="BB2" i="10"/>
  <c r="AW2" i="10"/>
  <c r="AN2" i="10"/>
  <c r="AJ2" i="10"/>
  <c r="AJ136" i="10" s="1"/>
  <c r="AJ138" i="10" s="1"/>
  <c r="AA2" i="10"/>
  <c r="AD2" i="10"/>
  <c r="AV2" i="10"/>
  <c r="BA2" i="10"/>
  <c r="BA136" i="10" s="1"/>
  <c r="BA138" i="10" s="1"/>
  <c r="AI2" i="10"/>
  <c r="U2" i="10"/>
  <c r="U136" i="10" s="1"/>
  <c r="U138" i="10" s="1"/>
  <c r="AM2" i="10"/>
  <c r="AM136" i="10" s="1"/>
  <c r="AM138" i="10" s="1"/>
  <c r="BE2" i="10"/>
  <c r="C11" i="52"/>
  <c r="C10" i="52"/>
  <c r="C8" i="52"/>
  <c r="O33" i="10"/>
  <c r="B24" i="79"/>
  <c r="B27" i="11"/>
  <c r="B27" i="82"/>
  <c r="B27" i="81"/>
  <c r="B27" i="14"/>
  <c r="B27" i="92"/>
  <c r="B27" i="1"/>
  <c r="C10" i="2"/>
  <c r="B27" i="79"/>
  <c r="B27" i="3"/>
  <c r="B27" i="36"/>
  <c r="C11" i="2"/>
  <c r="C7" i="2"/>
  <c r="B27" i="93"/>
  <c r="C6" i="2"/>
  <c r="B26" i="129" s="1"/>
  <c r="B25" i="74"/>
  <c r="N105" i="51"/>
  <c r="R105" i="51" s="1"/>
  <c r="B23" i="74"/>
  <c r="B18" i="74"/>
  <c r="N108" i="10"/>
  <c r="B25" i="46"/>
  <c r="N68" i="10" s="1"/>
  <c r="X68" i="10" s="1"/>
  <c r="N68" i="50"/>
  <c r="X68" i="50" s="1"/>
  <c r="B25" i="85"/>
  <c r="B23" i="25"/>
  <c r="K52" i="10"/>
  <c r="B24" i="25"/>
  <c r="B25" i="25"/>
  <c r="N52" i="10" s="1"/>
  <c r="N40" i="10"/>
  <c r="V40" i="10" s="1"/>
  <c r="N40" i="51"/>
  <c r="V40" i="51" s="1"/>
  <c r="H40" i="10"/>
  <c r="AD40" i="10" s="1"/>
  <c r="O109" i="10"/>
  <c r="K109" i="10"/>
  <c r="B25" i="72"/>
  <c r="B21" i="72"/>
  <c r="N37" i="10"/>
  <c r="N37" i="51"/>
  <c r="Y37" i="51" s="1"/>
  <c r="N35" i="51"/>
  <c r="Y35" i="51" s="1"/>
  <c r="H35" i="10"/>
  <c r="AC35" i="10" s="1"/>
  <c r="O84" i="10"/>
  <c r="K98" i="10"/>
  <c r="AQ98" i="10" s="1"/>
  <c r="H83" i="10"/>
  <c r="K39" i="10"/>
  <c r="AT39" i="10" s="1"/>
  <c r="N39" i="10"/>
  <c r="V39" i="10" s="1"/>
  <c r="BN2" i="10"/>
  <c r="BI2" i="10"/>
  <c r="BQ2" i="10"/>
  <c r="BL2" i="10"/>
  <c r="BH2" i="10"/>
  <c r="BO2" i="10"/>
  <c r="BG2" i="10"/>
  <c r="BP2" i="10"/>
  <c r="C9" i="2"/>
  <c r="B26" i="34" s="1"/>
  <c r="B27" i="48"/>
  <c r="B27" i="7"/>
  <c r="B27" i="13"/>
  <c r="B27" i="34"/>
  <c r="B27" i="42"/>
  <c r="B27" i="56"/>
  <c r="C8" i="2"/>
  <c r="B26" i="138" s="1"/>
  <c r="B27" i="86"/>
  <c r="B27" i="87"/>
  <c r="B27" i="88"/>
  <c r="B27" i="31"/>
  <c r="B27" i="32"/>
  <c r="B27" i="33"/>
  <c r="B27" i="41"/>
  <c r="B27" i="54"/>
  <c r="K83" i="10"/>
  <c r="AT83" i="10" s="1"/>
  <c r="N98" i="51"/>
  <c r="R98" i="51" s="1"/>
  <c r="B27" i="35"/>
  <c r="N92" i="10"/>
  <c r="N92" i="51"/>
  <c r="H92" i="10"/>
  <c r="L92" i="10"/>
  <c r="N16" i="50"/>
  <c r="V16" i="50" s="1"/>
  <c r="B24" i="6"/>
  <c r="B23" i="6"/>
  <c r="K16" i="10"/>
  <c r="AT16" i="10" s="1"/>
  <c r="B25" i="6"/>
  <c r="B27" i="43"/>
  <c r="N47" i="10"/>
  <c r="V47" i="10" s="1"/>
  <c r="J86" i="10"/>
  <c r="Y93" i="51" l="1"/>
  <c r="N136" i="51"/>
  <c r="H136" i="10"/>
  <c r="H140" i="10" s="1"/>
  <c r="I140" i="10" s="1"/>
  <c r="H144" i="10"/>
  <c r="H128" i="10"/>
  <c r="AG93" i="10"/>
  <c r="J146" i="10"/>
  <c r="J128" i="10"/>
  <c r="AO93" i="10"/>
  <c r="AO136" i="10" s="1"/>
  <c r="AO138" i="10" s="1"/>
  <c r="BK93" i="10"/>
  <c r="AG136" i="10"/>
  <c r="AG138" i="10" s="1"/>
  <c r="BR93" i="10"/>
  <c r="AF136" i="10"/>
  <c r="AF138" i="10" s="1"/>
  <c r="C20" i="47" s="1"/>
  <c r="AN136" i="10"/>
  <c r="AN138" i="10" s="1"/>
  <c r="D20" i="47" s="1"/>
  <c r="AD136" i="10"/>
  <c r="AD138" i="10" s="1"/>
  <c r="BQ136" i="10"/>
  <c r="BQ138" i="10" s="1"/>
  <c r="BJ136" i="10"/>
  <c r="BJ138" i="10" s="1"/>
  <c r="C7" i="47" s="1"/>
  <c r="BL136" i="10"/>
  <c r="BL138" i="10" s="1"/>
  <c r="BC136" i="10"/>
  <c r="BC138" i="10" s="1"/>
  <c r="BN136" i="10"/>
  <c r="BN138" i="10" s="1"/>
  <c r="V46" i="50"/>
  <c r="V128" i="50" s="1"/>
  <c r="V130" i="50" s="1"/>
  <c r="E8" i="52" s="1"/>
  <c r="N132" i="50"/>
  <c r="V46" i="10"/>
  <c r="N132" i="10"/>
  <c r="BR136" i="10"/>
  <c r="BR138" i="10" s="1"/>
  <c r="BS136" i="10"/>
  <c r="BS138" i="10" s="1"/>
  <c r="BG136" i="10"/>
  <c r="BG138" i="10" s="1"/>
  <c r="C5" i="47" s="1"/>
  <c r="W37" i="10"/>
  <c r="Y37" i="10"/>
  <c r="Y105" i="51"/>
  <c r="AA105" i="10"/>
  <c r="AG105" i="10"/>
  <c r="S108" i="51"/>
  <c r="O108" i="10"/>
  <c r="S108" i="10"/>
  <c r="O108" i="51"/>
  <c r="BK105" i="10"/>
  <c r="BP72" i="10"/>
  <c r="BI46" i="10"/>
  <c r="R45" i="10"/>
  <c r="R47" i="50"/>
  <c r="BP50" i="10"/>
  <c r="BB128" i="50"/>
  <c r="R51" i="51"/>
  <c r="R68" i="10"/>
  <c r="V50" i="51"/>
  <c r="R45" i="50"/>
  <c r="BI44" i="10"/>
  <c r="C16" i="47"/>
  <c r="F20" i="47"/>
  <c r="R46" i="50"/>
  <c r="R40" i="51"/>
  <c r="R70" i="10"/>
  <c r="BP48" i="10"/>
  <c r="BP51" i="10"/>
  <c r="BP46" i="10"/>
  <c r="BI45" i="10"/>
  <c r="R47" i="10"/>
  <c r="R39" i="10"/>
  <c r="BK69" i="10"/>
  <c r="R69" i="10"/>
  <c r="R68" i="50"/>
  <c r="R46" i="10"/>
  <c r="BP47" i="10"/>
  <c r="BI51" i="10"/>
  <c r="BI50" i="10"/>
  <c r="BI67" i="10"/>
  <c r="BI40" i="10"/>
  <c r="R40" i="10"/>
  <c r="BC128" i="50"/>
  <c r="BC130" i="50" s="1"/>
  <c r="D44" i="47" s="1"/>
  <c r="BQ128" i="50"/>
  <c r="BQ130" i="50" s="1"/>
  <c r="F42" i="47" s="1"/>
  <c r="S128" i="50"/>
  <c r="S130" i="50" s="1"/>
  <c r="E5" i="52" s="1"/>
  <c r="G5" i="52" s="1"/>
  <c r="AF128" i="50"/>
  <c r="AF130" i="50" s="1"/>
  <c r="C32" i="47" s="1"/>
  <c r="AD128" i="50"/>
  <c r="AD130" i="50" s="1"/>
  <c r="C30" i="47" s="1"/>
  <c r="AY128" i="50"/>
  <c r="Y128" i="50"/>
  <c r="Y130" i="50" s="1"/>
  <c r="E11" i="52" s="1"/>
  <c r="AU128" i="50"/>
  <c r="BP128" i="50"/>
  <c r="BP130" i="50" s="1"/>
  <c r="O7" i="10"/>
  <c r="Y7" i="10"/>
  <c r="U35" i="51"/>
  <c r="R7" i="10"/>
  <c r="AB93" i="50"/>
  <c r="AO93" i="50"/>
  <c r="BH35" i="10"/>
  <c r="W128" i="50"/>
  <c r="W130" i="50" s="1"/>
  <c r="E9" i="52" s="1"/>
  <c r="F9" i="52" s="1"/>
  <c r="AK128" i="50"/>
  <c r="AK130" i="50" s="1"/>
  <c r="D30" i="47" s="1"/>
  <c r="AS128" i="50"/>
  <c r="AS130" i="50" s="1"/>
  <c r="C42" i="47" s="1"/>
  <c r="BG128" i="50"/>
  <c r="BG130" i="50" s="1"/>
  <c r="B26" i="144"/>
  <c r="B26" i="142"/>
  <c r="B26" i="141"/>
  <c r="B26" i="140"/>
  <c r="BS128" i="50"/>
  <c r="BS130" i="50" s="1"/>
  <c r="F44" i="47" s="1"/>
  <c r="U128" i="50"/>
  <c r="U130" i="50" s="1"/>
  <c r="E7" i="52" s="1"/>
  <c r="BI128" i="50"/>
  <c r="BI130" i="50" s="1"/>
  <c r="E42" i="47" s="1"/>
  <c r="AM128" i="50"/>
  <c r="AM130" i="50" s="1"/>
  <c r="D32" i="47" s="1"/>
  <c r="BA128" i="50"/>
  <c r="BA130" i="50" s="1"/>
  <c r="D42" i="47" s="1"/>
  <c r="T128" i="50"/>
  <c r="T130" i="50" s="1"/>
  <c r="E6" i="52" s="1"/>
  <c r="F6" i="52" s="1"/>
  <c r="R14" i="10"/>
  <c r="S14" i="10"/>
  <c r="AZ51" i="50"/>
  <c r="AJ51" i="50"/>
  <c r="AT67" i="50"/>
  <c r="AT128" i="50" s="1"/>
  <c r="AC67" i="50"/>
  <c r="AJ85" i="50"/>
  <c r="AZ85" i="50"/>
  <c r="AA107" i="50"/>
  <c r="AP107" i="50"/>
  <c r="AA95" i="50"/>
  <c r="AP95" i="50"/>
  <c r="AJ47" i="50"/>
  <c r="AZ47" i="50"/>
  <c r="AC50" i="50"/>
  <c r="AR50" i="50"/>
  <c r="BK128" i="50"/>
  <c r="BK130" i="50" s="1"/>
  <c r="AC46" i="50"/>
  <c r="AR46" i="50"/>
  <c r="AC43" i="50"/>
  <c r="AR43" i="50"/>
  <c r="AC45" i="50"/>
  <c r="AR45" i="50"/>
  <c r="AZ46" i="50"/>
  <c r="AJ46" i="50"/>
  <c r="AR51" i="50"/>
  <c r="AC51" i="50"/>
  <c r="AC49" i="50"/>
  <c r="AR49" i="50"/>
  <c r="AP54" i="50"/>
  <c r="AA54" i="50"/>
  <c r="AO105" i="50"/>
  <c r="AC44" i="50"/>
  <c r="AR44" i="50"/>
  <c r="AO106" i="50"/>
  <c r="BR128" i="50"/>
  <c r="BR130" i="50" s="1"/>
  <c r="F43" i="47" s="1"/>
  <c r="AC47" i="50"/>
  <c r="AR47" i="50"/>
  <c r="AB87" i="50"/>
  <c r="AQ87" i="50"/>
  <c r="AQ128" i="50" s="1"/>
  <c r="AQ130" i="50" s="1"/>
  <c r="AA88" i="50"/>
  <c r="AP88" i="50"/>
  <c r="AR102" i="50"/>
  <c r="AC102" i="50"/>
  <c r="BH93" i="10"/>
  <c r="BH136" i="10" s="1"/>
  <c r="BH138" i="10" s="1"/>
  <c r="AA93" i="10"/>
  <c r="AA136" i="10" s="1"/>
  <c r="AA138" i="10" s="1"/>
  <c r="AI93" i="10"/>
  <c r="AI136" i="10" s="1"/>
  <c r="AI138" i="10" s="1"/>
  <c r="BO93" i="10"/>
  <c r="BO136" i="10" s="1"/>
  <c r="BO138" i="10" s="1"/>
  <c r="AI91" i="10"/>
  <c r="AD83" i="10"/>
  <c r="BI83" i="10"/>
  <c r="X128" i="51"/>
  <c r="X130" i="51" s="1"/>
  <c r="E10" i="53" s="1"/>
  <c r="BL35" i="10"/>
  <c r="AE35" i="10"/>
  <c r="C19" i="47" s="1"/>
  <c r="L93" i="50"/>
  <c r="K93" i="51"/>
  <c r="BE93" i="50" s="1"/>
  <c r="BE128" i="50" s="1"/>
  <c r="B26" i="121"/>
  <c r="B26" i="134"/>
  <c r="B26" i="136"/>
  <c r="B26" i="135"/>
  <c r="B26" i="137"/>
  <c r="B26" i="132"/>
  <c r="B26" i="131"/>
  <c r="B26" i="133"/>
  <c r="B26" i="130"/>
  <c r="R91" i="51"/>
  <c r="S93" i="51"/>
  <c r="B26" i="56"/>
  <c r="B26" i="19"/>
  <c r="B27" i="29"/>
  <c r="M68" i="51"/>
  <c r="M68" i="50"/>
  <c r="B27" i="38"/>
  <c r="B26" i="120"/>
  <c r="B26" i="17"/>
  <c r="B26" i="41"/>
  <c r="B26" i="125"/>
  <c r="B26" i="124"/>
  <c r="B26" i="123"/>
  <c r="W36" i="51"/>
  <c r="W37" i="51"/>
  <c r="W35" i="51"/>
  <c r="O14" i="10"/>
  <c r="B24" i="93"/>
  <c r="M107" i="50" s="1"/>
  <c r="K96" i="50"/>
  <c r="K96" i="51"/>
  <c r="J105" i="51"/>
  <c r="AL105" i="50" s="1"/>
  <c r="J105" i="50"/>
  <c r="O105" i="50" s="1"/>
  <c r="M102" i="51"/>
  <c r="M102" i="50"/>
  <c r="L95" i="51"/>
  <c r="L95" i="50"/>
  <c r="L108" i="50"/>
  <c r="L108" i="51"/>
  <c r="BM108" i="50" s="1"/>
  <c r="B24" i="73"/>
  <c r="M106" i="10" s="1"/>
  <c r="J106" i="51"/>
  <c r="AL106" i="50" s="1"/>
  <c r="J106" i="50"/>
  <c r="O106" i="50" s="1"/>
  <c r="J95" i="51"/>
  <c r="J95" i="50"/>
  <c r="J96" i="51"/>
  <c r="J96" i="50"/>
  <c r="J107" i="51"/>
  <c r="J107" i="50"/>
  <c r="O107" i="50" s="1"/>
  <c r="J93" i="51"/>
  <c r="J93" i="50"/>
  <c r="B24" i="72"/>
  <c r="M91" i="10" s="1"/>
  <c r="K91" i="50"/>
  <c r="K91" i="51"/>
  <c r="J91" i="51"/>
  <c r="O91" i="51" s="1"/>
  <c r="J91" i="50"/>
  <c r="O91" i="50" s="1"/>
  <c r="K88" i="51"/>
  <c r="BF88" i="50" s="1"/>
  <c r="K88" i="50"/>
  <c r="L87" i="51"/>
  <c r="L87" i="50"/>
  <c r="K85" i="51"/>
  <c r="BH85" i="50" s="1"/>
  <c r="K85" i="50"/>
  <c r="H85" i="50"/>
  <c r="H85" i="51"/>
  <c r="K72" i="10"/>
  <c r="AV72" i="10" s="1"/>
  <c r="K72" i="50"/>
  <c r="K72" i="51"/>
  <c r="BJ72" i="50" s="1"/>
  <c r="M67" i="10"/>
  <c r="M67" i="50"/>
  <c r="M67" i="51"/>
  <c r="M52" i="51"/>
  <c r="M52" i="50"/>
  <c r="B23" i="85"/>
  <c r="B24" i="83"/>
  <c r="K49" i="50"/>
  <c r="K49" i="51"/>
  <c r="BH49" i="50" s="1"/>
  <c r="M50" i="51"/>
  <c r="M50" i="50"/>
  <c r="B24" i="85"/>
  <c r="K51" i="50"/>
  <c r="K51" i="51"/>
  <c r="BH51" i="50" s="1"/>
  <c r="K47" i="50"/>
  <c r="K47" i="51"/>
  <c r="BH47" i="50" s="1"/>
  <c r="B27" i="94"/>
  <c r="M43" i="51"/>
  <c r="M43" i="50"/>
  <c r="M44" i="51"/>
  <c r="M44" i="50"/>
  <c r="R16" i="50"/>
  <c r="O16" i="50"/>
  <c r="O15" i="10"/>
  <c r="R15" i="50"/>
  <c r="O15" i="50"/>
  <c r="K15" i="50"/>
  <c r="K15" i="51"/>
  <c r="BH15" i="50" s="1"/>
  <c r="M16" i="51"/>
  <c r="M16" i="50"/>
  <c r="M33" i="51"/>
  <c r="M33" i="50"/>
  <c r="B23" i="27"/>
  <c r="K45" i="50"/>
  <c r="K45" i="51"/>
  <c r="BH45" i="50" s="1"/>
  <c r="B24" i="28"/>
  <c r="M46" i="10" s="1"/>
  <c r="K46" i="50"/>
  <c r="K46" i="51"/>
  <c r="BH46" i="50" s="1"/>
  <c r="M55" i="50"/>
  <c r="M55" i="51"/>
  <c r="R15" i="10"/>
  <c r="S105" i="51"/>
  <c r="B26" i="12"/>
  <c r="B26" i="117"/>
  <c r="B26" i="114"/>
  <c r="B26" i="115"/>
  <c r="B26" i="107"/>
  <c r="B26" i="113"/>
  <c r="B26" i="111"/>
  <c r="B26" i="105"/>
  <c r="B26" i="106"/>
  <c r="B26" i="109"/>
  <c r="B26" i="112"/>
  <c r="B26" i="101"/>
  <c r="B26" i="108"/>
  <c r="B26" i="100"/>
  <c r="B26" i="110"/>
  <c r="B26" i="102"/>
  <c r="B26" i="103"/>
  <c r="B26" i="104"/>
  <c r="B24" i="32"/>
  <c r="M87" i="10" s="1"/>
  <c r="R55" i="50"/>
  <c r="O70" i="10"/>
  <c r="O47" i="10"/>
  <c r="R35" i="51"/>
  <c r="R37" i="51"/>
  <c r="O43" i="10"/>
  <c r="BT130" i="50"/>
  <c r="V85" i="51"/>
  <c r="S98" i="51"/>
  <c r="Y36" i="51"/>
  <c r="R37" i="10"/>
  <c r="O107" i="10"/>
  <c r="J106" i="10"/>
  <c r="O106" i="10" s="1"/>
  <c r="M51" i="10"/>
  <c r="B25" i="57"/>
  <c r="B26" i="57" s="1"/>
  <c r="N72" i="50"/>
  <c r="B24" i="57"/>
  <c r="B23" i="57"/>
  <c r="B27" i="39"/>
  <c r="J96" i="10"/>
  <c r="O96" i="10" s="1"/>
  <c r="K96" i="10"/>
  <c r="K88" i="10"/>
  <c r="B24" i="33"/>
  <c r="B23" i="33"/>
  <c r="B23" i="32"/>
  <c r="L87" i="10"/>
  <c r="H85" i="10"/>
  <c r="B23" i="29"/>
  <c r="B24" i="29"/>
  <c r="K85" i="10"/>
  <c r="O46" i="10"/>
  <c r="B27" i="28"/>
  <c r="B23" i="28"/>
  <c r="N44" i="10"/>
  <c r="B27" i="26"/>
  <c r="B26" i="7"/>
  <c r="B26" i="92"/>
  <c r="B26" i="18"/>
  <c r="B26" i="76"/>
  <c r="B26" i="77"/>
  <c r="B26" i="78"/>
  <c r="B26" i="93"/>
  <c r="B26" i="86"/>
  <c r="B24" i="5"/>
  <c r="B24" i="27"/>
  <c r="B23" i="5"/>
  <c r="K15" i="10"/>
  <c r="AT15" i="10" s="1"/>
  <c r="B27" i="5"/>
  <c r="B27" i="46"/>
  <c r="B23" i="41"/>
  <c r="K54" i="10"/>
  <c r="B24" i="41"/>
  <c r="B26" i="24"/>
  <c r="B26" i="69"/>
  <c r="B26" i="20"/>
  <c r="B26" i="21"/>
  <c r="B26" i="22"/>
  <c r="B26" i="13"/>
  <c r="B26" i="3"/>
  <c r="B26" i="88"/>
  <c r="B26" i="31"/>
  <c r="I23" i="55"/>
  <c r="I22" i="55"/>
  <c r="N70" i="50"/>
  <c r="X70" i="50" s="1"/>
  <c r="B27" i="55"/>
  <c r="O69" i="10"/>
  <c r="N69" i="50"/>
  <c r="B25" i="45"/>
  <c r="N67" i="50"/>
  <c r="J95" i="10"/>
  <c r="B25" i="44"/>
  <c r="L95" i="10"/>
  <c r="N136" i="50"/>
  <c r="B21" i="44"/>
  <c r="M50" i="10"/>
  <c r="B27" i="84"/>
  <c r="B26" i="84"/>
  <c r="N50" i="10"/>
  <c r="B27" i="83"/>
  <c r="N49" i="10"/>
  <c r="O49" i="10" s="1"/>
  <c r="B26" i="83"/>
  <c r="M49" i="10"/>
  <c r="K49" i="10"/>
  <c r="B23" i="83"/>
  <c r="M48" i="10"/>
  <c r="B27" i="75"/>
  <c r="B26" i="75"/>
  <c r="N48" i="10"/>
  <c r="M102" i="10"/>
  <c r="K86" i="10"/>
  <c r="M55" i="10"/>
  <c r="B23" i="43"/>
  <c r="K47" i="10"/>
  <c r="AT47" i="10" s="1"/>
  <c r="B24" i="43"/>
  <c r="K46" i="10"/>
  <c r="AT46" i="10" s="1"/>
  <c r="B27" i="27"/>
  <c r="J45" i="10"/>
  <c r="K45" i="10"/>
  <c r="AT45" i="10" s="1"/>
  <c r="M44" i="10"/>
  <c r="M43" i="10"/>
  <c r="O39" i="10"/>
  <c r="O37" i="10"/>
  <c r="O4" i="10"/>
  <c r="B26" i="33"/>
  <c r="B26" i="39"/>
  <c r="B26" i="32"/>
  <c r="B26" i="95"/>
  <c r="M33" i="10"/>
  <c r="B26" i="36"/>
  <c r="B26" i="81"/>
  <c r="B26" i="14"/>
  <c r="B26" i="82"/>
  <c r="B26" i="46"/>
  <c r="B26" i="87"/>
  <c r="B26" i="11"/>
  <c r="B26" i="55"/>
  <c r="B26" i="42"/>
  <c r="B26" i="79"/>
  <c r="B26" i="54"/>
  <c r="B26" i="35"/>
  <c r="B26" i="48"/>
  <c r="B26" i="1"/>
  <c r="J105" i="10"/>
  <c r="AO105" i="10" s="1"/>
  <c r="B27" i="74"/>
  <c r="B26" i="74"/>
  <c r="N105" i="10"/>
  <c r="B24" i="74"/>
  <c r="K105" i="10"/>
  <c r="AW105" i="10" s="1"/>
  <c r="K108" i="10"/>
  <c r="AQ108" i="10" s="1"/>
  <c r="N51" i="10"/>
  <c r="B27" i="85"/>
  <c r="B26" i="85"/>
  <c r="O52" i="10"/>
  <c r="B27" i="25"/>
  <c r="B26" i="25"/>
  <c r="M52" i="10"/>
  <c r="M40" i="10"/>
  <c r="O40" i="10"/>
  <c r="K40" i="10"/>
  <c r="AT40" i="10" s="1"/>
  <c r="L40" i="10"/>
  <c r="BB40" i="10" s="1"/>
  <c r="BB136" i="10" s="1"/>
  <c r="BB138" i="10" s="1"/>
  <c r="M109" i="10"/>
  <c r="K91" i="10"/>
  <c r="AQ91" i="10" s="1"/>
  <c r="B27" i="72"/>
  <c r="N91" i="10"/>
  <c r="B26" i="72"/>
  <c r="B23" i="72"/>
  <c r="L37" i="10"/>
  <c r="BC37" i="10" s="1"/>
  <c r="K37" i="10"/>
  <c r="K36" i="10"/>
  <c r="AU36" i="10" s="1"/>
  <c r="AU136" i="10" s="1"/>
  <c r="AU138" i="10" s="1"/>
  <c r="N36" i="10"/>
  <c r="W36" i="10" s="1"/>
  <c r="W136" i="10" s="1"/>
  <c r="W138" i="10" s="1"/>
  <c r="L35" i="10"/>
  <c r="K35" i="10"/>
  <c r="M35" i="10"/>
  <c r="N35" i="10"/>
  <c r="M98" i="10"/>
  <c r="O83" i="10"/>
  <c r="L83" i="10"/>
  <c r="BB83" i="10" s="1"/>
  <c r="M39" i="10"/>
  <c r="B26" i="28"/>
  <c r="B26" i="38"/>
  <c r="B26" i="27"/>
  <c r="B26" i="26"/>
  <c r="B26" i="5"/>
  <c r="B26" i="29"/>
  <c r="B26" i="43"/>
  <c r="K92" i="10"/>
  <c r="J92" i="10"/>
  <c r="O92" i="10" s="1"/>
  <c r="B27" i="6"/>
  <c r="B26" i="6"/>
  <c r="N16" i="10"/>
  <c r="V16" i="10" s="1"/>
  <c r="M16" i="10"/>
  <c r="H86" i="10"/>
  <c r="BK136" i="10" l="1"/>
  <c r="BK138" i="10" s="1"/>
  <c r="H148" i="10"/>
  <c r="L144" i="10" s="1"/>
  <c r="BI136" i="10"/>
  <c r="BI138" i="10" s="1"/>
  <c r="C6" i="47" s="1"/>
  <c r="AT136" i="10"/>
  <c r="AT138" i="10" s="1"/>
  <c r="C9" i="47"/>
  <c r="C55" i="47" s="1"/>
  <c r="AU37" i="10"/>
  <c r="AW37" i="10"/>
  <c r="C15" i="47"/>
  <c r="S105" i="10"/>
  <c r="Y105" i="10"/>
  <c r="M107" i="10"/>
  <c r="AI105" i="10"/>
  <c r="D15" i="47" s="1"/>
  <c r="BR105" i="10"/>
  <c r="AB128" i="50"/>
  <c r="AB130" i="50" s="1"/>
  <c r="C31" i="47" s="1"/>
  <c r="O69" i="50"/>
  <c r="X69" i="50"/>
  <c r="R69" i="50"/>
  <c r="O50" i="10"/>
  <c r="V50" i="10"/>
  <c r="R50" i="10"/>
  <c r="O44" i="10"/>
  <c r="V44" i="10"/>
  <c r="R44" i="10"/>
  <c r="V51" i="10"/>
  <c r="R51" i="10"/>
  <c r="O45" i="10"/>
  <c r="AL45" i="10"/>
  <c r="AL136" i="10" s="1"/>
  <c r="AL138" i="10" s="1"/>
  <c r="BP45" i="10"/>
  <c r="X67" i="50"/>
  <c r="R67" i="50"/>
  <c r="O48" i="10"/>
  <c r="V48" i="10"/>
  <c r="R48" i="10"/>
  <c r="O72" i="50"/>
  <c r="X72" i="50"/>
  <c r="R72" i="50"/>
  <c r="C8" i="47"/>
  <c r="AI93" i="50"/>
  <c r="AI128" i="50" s="1"/>
  <c r="AI130" i="50" s="1"/>
  <c r="D31" i="47" s="1"/>
  <c r="AW93" i="50"/>
  <c r="BC35" i="10"/>
  <c r="BA35" i="10"/>
  <c r="AO128" i="50"/>
  <c r="AO130" i="50" s="1"/>
  <c r="C38" i="47" s="1"/>
  <c r="W35" i="10"/>
  <c r="U35" i="10"/>
  <c r="AU35" i="10"/>
  <c r="AS35" i="10"/>
  <c r="K93" i="10"/>
  <c r="K93" i="50"/>
  <c r="L93" i="51"/>
  <c r="BM93" i="50" s="1"/>
  <c r="BM128" i="50" s="1"/>
  <c r="BM130" i="50" s="1"/>
  <c r="F38" i="47" s="1"/>
  <c r="AZ128" i="50"/>
  <c r="AE128" i="50"/>
  <c r="AJ128" i="50"/>
  <c r="AJ130" i="50" s="1"/>
  <c r="D29" i="47" s="1"/>
  <c r="AP128" i="50"/>
  <c r="AP130" i="50" s="1"/>
  <c r="C39" i="47" s="1"/>
  <c r="C62" i="47" s="1"/>
  <c r="AA128" i="50"/>
  <c r="AA130" i="50" s="1"/>
  <c r="C28" i="47" s="1"/>
  <c r="C51" i="47" s="1"/>
  <c r="AR85" i="50"/>
  <c r="AR128" i="50" s="1"/>
  <c r="AR130" i="50" s="1"/>
  <c r="C41" i="47" s="1"/>
  <c r="AC85" i="50"/>
  <c r="AC128" i="50" s="1"/>
  <c r="AC130" i="50" s="1"/>
  <c r="C29" i="47" s="1"/>
  <c r="BO87" i="50"/>
  <c r="BO128" i="50" s="1"/>
  <c r="BO130" i="50" s="1"/>
  <c r="F40" i="47" s="1"/>
  <c r="AW106" i="50"/>
  <c r="AX107" i="50"/>
  <c r="AH107" i="50"/>
  <c r="AX95" i="50"/>
  <c r="AH95" i="50"/>
  <c r="BN95" i="50"/>
  <c r="BN128" i="50" s="1"/>
  <c r="BN130" i="50" s="1"/>
  <c r="F39" i="47" s="1"/>
  <c r="AW105" i="50"/>
  <c r="S128" i="51"/>
  <c r="S130" i="51" s="1"/>
  <c r="E5" i="53" s="1"/>
  <c r="G5" i="53" s="1"/>
  <c r="M93" i="10"/>
  <c r="L93" i="10"/>
  <c r="R91" i="10"/>
  <c r="S91" i="10"/>
  <c r="BH128" i="50"/>
  <c r="BH130" i="50" s="1"/>
  <c r="E41" i="47" s="1"/>
  <c r="R70" i="50"/>
  <c r="N93" i="10"/>
  <c r="M107" i="51"/>
  <c r="O107" i="51"/>
  <c r="R35" i="10"/>
  <c r="M105" i="50"/>
  <c r="M105" i="51"/>
  <c r="M96" i="50"/>
  <c r="M96" i="51"/>
  <c r="M108" i="51"/>
  <c r="M108" i="50"/>
  <c r="B24" i="44"/>
  <c r="M95" i="10" s="1"/>
  <c r="K95" i="50"/>
  <c r="K95" i="51"/>
  <c r="BF95" i="50" s="1"/>
  <c r="BF128" i="50" s="1"/>
  <c r="M106" i="51"/>
  <c r="M106" i="50"/>
  <c r="M93" i="51"/>
  <c r="M91" i="50"/>
  <c r="M91" i="51"/>
  <c r="M88" i="51"/>
  <c r="M88" i="50"/>
  <c r="M87" i="51"/>
  <c r="M87" i="50"/>
  <c r="M85" i="50"/>
  <c r="M85" i="51"/>
  <c r="M72" i="10"/>
  <c r="M72" i="50"/>
  <c r="M72" i="51"/>
  <c r="M51" i="51"/>
  <c r="M51" i="50"/>
  <c r="M49" i="51"/>
  <c r="M49" i="50"/>
  <c r="M47" i="51"/>
  <c r="M47" i="50"/>
  <c r="O16" i="10"/>
  <c r="M45" i="51"/>
  <c r="M45" i="50"/>
  <c r="M54" i="50"/>
  <c r="M54" i="51"/>
  <c r="M15" i="51"/>
  <c r="M15" i="50"/>
  <c r="M46" i="51"/>
  <c r="M46" i="50"/>
  <c r="R16" i="10"/>
  <c r="R105" i="10"/>
  <c r="C17" i="47"/>
  <c r="AT130" i="50"/>
  <c r="C43" i="47" s="1"/>
  <c r="C66" i="47" s="1"/>
  <c r="BB130" i="50"/>
  <c r="D43" i="47" s="1"/>
  <c r="D66" i="47" s="1"/>
  <c r="E44" i="47"/>
  <c r="C40" i="47"/>
  <c r="F41" i="47"/>
  <c r="E40" i="47"/>
  <c r="B21" i="55"/>
  <c r="D7" i="47"/>
  <c r="D53" i="47" s="1"/>
  <c r="E30" i="47"/>
  <c r="F30" i="47" s="1"/>
  <c r="C65" i="47"/>
  <c r="E32" i="47"/>
  <c r="F32" i="47" s="1"/>
  <c r="BE130" i="50"/>
  <c r="F5" i="52"/>
  <c r="C53" i="47"/>
  <c r="O85" i="10"/>
  <c r="O106" i="51"/>
  <c r="O105" i="51"/>
  <c r="R36" i="10"/>
  <c r="F66" i="47"/>
  <c r="G42" i="47"/>
  <c r="F11" i="52"/>
  <c r="G7" i="52"/>
  <c r="M15" i="10"/>
  <c r="N72" i="10"/>
  <c r="B27" i="57"/>
  <c r="B22" i="40"/>
  <c r="B25" i="40"/>
  <c r="B21" i="40"/>
  <c r="M96" i="10"/>
  <c r="M88" i="10"/>
  <c r="M85" i="10"/>
  <c r="M45" i="10"/>
  <c r="O70" i="50"/>
  <c r="O51" i="10"/>
  <c r="M54" i="10"/>
  <c r="K69" i="10"/>
  <c r="AV69" i="10" s="1"/>
  <c r="N67" i="10"/>
  <c r="B27" i="45"/>
  <c r="B26" i="45"/>
  <c r="N95" i="10"/>
  <c r="B27" i="44"/>
  <c r="B26" i="44"/>
  <c r="K95" i="10"/>
  <c r="B23" i="44"/>
  <c r="M47" i="10"/>
  <c r="O36" i="10"/>
  <c r="F10" i="53"/>
  <c r="O35" i="10"/>
  <c r="G6" i="52"/>
  <c r="O105" i="10"/>
  <c r="G9" i="52"/>
  <c r="M105" i="10"/>
  <c r="M108" i="10"/>
  <c r="O91" i="10"/>
  <c r="M37" i="10"/>
  <c r="M36" i="10"/>
  <c r="M83" i="10"/>
  <c r="M92" i="10"/>
  <c r="M86" i="10"/>
  <c r="O86" i="10"/>
  <c r="AY93" i="10" l="1"/>
  <c r="BE93" i="10"/>
  <c r="BE136" i="10" s="1"/>
  <c r="BE138" i="10" s="1"/>
  <c r="I148" i="10"/>
  <c r="L145" i="10"/>
  <c r="L146" i="10"/>
  <c r="AQ93" i="10"/>
  <c r="AQ136" i="10" s="1"/>
  <c r="AQ138" i="10" s="1"/>
  <c r="AW93" i="10"/>
  <c r="AW136" i="10" s="1"/>
  <c r="AW138" i="10" s="1"/>
  <c r="M146" i="10"/>
  <c r="V136" i="10"/>
  <c r="V138" i="10" s="1"/>
  <c r="BP136" i="10"/>
  <c r="BP138" i="10" s="1"/>
  <c r="D6" i="47" s="1"/>
  <c r="O95" i="10"/>
  <c r="N136" i="10"/>
  <c r="N140" i="10" s="1"/>
  <c r="H4" i="2" s="1"/>
  <c r="N128" i="10"/>
  <c r="S93" i="10"/>
  <c r="S136" i="10" s="1"/>
  <c r="S138" i="10" s="1"/>
  <c r="E5" i="2" s="1"/>
  <c r="F5" i="2" s="1"/>
  <c r="Y93" i="10"/>
  <c r="Y136" i="10" s="1"/>
  <c r="Y138" i="10" s="1"/>
  <c r="C61" i="47"/>
  <c r="C54" i="47"/>
  <c r="E31" i="47"/>
  <c r="F31" i="47" s="1"/>
  <c r="O67" i="10"/>
  <c r="X67" i="10"/>
  <c r="R67" i="10"/>
  <c r="X72" i="10"/>
  <c r="R72" i="10"/>
  <c r="M93" i="50"/>
  <c r="AH128" i="50"/>
  <c r="AH130" i="50" s="1"/>
  <c r="D28" i="47" s="1"/>
  <c r="E28" i="47" s="1"/>
  <c r="F28" i="47" s="1"/>
  <c r="AX128" i="50"/>
  <c r="AX130" i="50" s="1"/>
  <c r="D39" i="47" s="1"/>
  <c r="AW128" i="50"/>
  <c r="AW130" i="50" s="1"/>
  <c r="D38" i="47" s="1"/>
  <c r="D61" i="47" s="1"/>
  <c r="AL128" i="50"/>
  <c r="AL130" i="50" s="1"/>
  <c r="D27" i="47" s="1"/>
  <c r="R93" i="10"/>
  <c r="O93" i="10"/>
  <c r="E29" i="47"/>
  <c r="F29" i="47" s="1"/>
  <c r="K97" i="50"/>
  <c r="K97" i="51"/>
  <c r="M95" i="51"/>
  <c r="M95" i="50"/>
  <c r="L97" i="51"/>
  <c r="L97" i="50"/>
  <c r="B23" i="55"/>
  <c r="K70" i="50"/>
  <c r="K70" i="51"/>
  <c r="E15" i="47"/>
  <c r="BF130" i="50"/>
  <c r="E39" i="47" s="1"/>
  <c r="F5" i="53"/>
  <c r="D8" i="47"/>
  <c r="D54" i="47" s="1"/>
  <c r="AY130" i="50"/>
  <c r="D40" i="47" s="1"/>
  <c r="AZ130" i="50"/>
  <c r="D41" i="47" s="1"/>
  <c r="AU130" i="50"/>
  <c r="C44" i="47" s="1"/>
  <c r="C21" i="47"/>
  <c r="AE130" i="50"/>
  <c r="C27" i="47" s="1"/>
  <c r="C33" i="47" s="1"/>
  <c r="E38" i="47"/>
  <c r="C63" i="47"/>
  <c r="O72" i="10"/>
  <c r="C52" i="47"/>
  <c r="C18" i="47"/>
  <c r="C4" i="47"/>
  <c r="B24" i="55"/>
  <c r="K70" i="10"/>
  <c r="AV70" i="10" s="1"/>
  <c r="AV136" i="10" s="1"/>
  <c r="AV138" i="10" s="1"/>
  <c r="F45" i="47"/>
  <c r="E7" i="47"/>
  <c r="F7" i="47" s="1"/>
  <c r="E53" i="47"/>
  <c r="F53" i="47" s="1"/>
  <c r="F7" i="52"/>
  <c r="G11" i="52"/>
  <c r="B24" i="40"/>
  <c r="B23" i="40"/>
  <c r="K97" i="10"/>
  <c r="B27" i="40"/>
  <c r="N97" i="10"/>
  <c r="B26" i="40"/>
  <c r="L97" i="10"/>
  <c r="M69" i="10"/>
  <c r="R136" i="10" l="1"/>
  <c r="R138" i="10" s="1"/>
  <c r="AY136" i="10"/>
  <c r="AY138" i="10" s="1"/>
  <c r="F15" i="47" s="1"/>
  <c r="X136" i="10"/>
  <c r="X138" i="10" s="1"/>
  <c r="E6" i="47"/>
  <c r="F6" i="47" s="1"/>
  <c r="D52" i="47"/>
  <c r="E52" i="47" s="1"/>
  <c r="F52" i="47" s="1"/>
  <c r="E54" i="47"/>
  <c r="F54" i="47" s="1"/>
  <c r="BJ70" i="50"/>
  <c r="BJ128" i="50" s="1"/>
  <c r="BJ130" i="50" s="1"/>
  <c r="E43" i="47" s="1"/>
  <c r="G38" i="47"/>
  <c r="M97" i="51"/>
  <c r="M97" i="50"/>
  <c r="O97" i="10"/>
  <c r="M70" i="50"/>
  <c r="M70" i="51"/>
  <c r="E61" i="47"/>
  <c r="G5" i="2"/>
  <c r="G40" i="47"/>
  <c r="G41" i="47"/>
  <c r="C45" i="47"/>
  <c r="H38" i="47" s="1"/>
  <c r="G44" i="47"/>
  <c r="C67" i="47"/>
  <c r="E8" i="47"/>
  <c r="F8" i="47" s="1"/>
  <c r="M70" i="10"/>
  <c r="C10" i="47"/>
  <c r="H5" i="47" s="1"/>
  <c r="C64" i="47"/>
  <c r="C22" i="47"/>
  <c r="H16" i="47" s="1"/>
  <c r="C50" i="47"/>
  <c r="C56" i="47" s="1"/>
  <c r="H51" i="47" s="1"/>
  <c r="D45" i="47"/>
  <c r="G39" i="47"/>
  <c r="D33" i="47"/>
  <c r="E27" i="47"/>
  <c r="H32" i="47"/>
  <c r="H33" i="47"/>
  <c r="H27" i="47"/>
  <c r="H28" i="47"/>
  <c r="H31" i="47"/>
  <c r="H30" i="47"/>
  <c r="H29" i="47"/>
  <c r="M97" i="10"/>
  <c r="F61" i="47" l="1"/>
  <c r="G61" i="47" s="1"/>
  <c r="G15" i="47"/>
  <c r="G43" i="47"/>
  <c r="E45" i="47"/>
  <c r="G45" i="47" s="1"/>
  <c r="H7" i="47"/>
  <c r="H40" i="47"/>
  <c r="H45" i="47"/>
  <c r="C68" i="47"/>
  <c r="H63" i="47" s="1"/>
  <c r="H43" i="47"/>
  <c r="H44" i="47"/>
  <c r="H42" i="47"/>
  <c r="H39" i="47"/>
  <c r="H41" i="47"/>
  <c r="H9" i="47"/>
  <c r="H8" i="47"/>
  <c r="H19" i="47"/>
  <c r="H15" i="47"/>
  <c r="H4" i="47"/>
  <c r="H54" i="47"/>
  <c r="H10" i="47"/>
  <c r="H6" i="47"/>
  <c r="H55" i="47"/>
  <c r="H56" i="47"/>
  <c r="H50" i="47"/>
  <c r="H52" i="47"/>
  <c r="H53" i="47"/>
  <c r="H22" i="47"/>
  <c r="H20" i="47"/>
  <c r="H18" i="47"/>
  <c r="H21" i="47"/>
  <c r="H17" i="47"/>
  <c r="F27" i="47"/>
  <c r="F33" i="47" s="1"/>
  <c r="E33" i="47"/>
  <c r="G8" i="52"/>
  <c r="F8" i="52"/>
  <c r="H61" i="47" l="1"/>
  <c r="H66" i="47"/>
  <c r="H67" i="47"/>
  <c r="H68" i="47"/>
  <c r="H64" i="47"/>
  <c r="H62" i="47"/>
  <c r="H65" i="47"/>
  <c r="C6" i="53" l="1"/>
  <c r="C9" i="53"/>
  <c r="C7" i="53"/>
  <c r="C11" i="53"/>
  <c r="C8" i="53"/>
  <c r="C10" i="53"/>
  <c r="G10" i="53"/>
  <c r="B25" i="119" l="1"/>
  <c r="B27" i="119" s="1"/>
  <c r="B19" i="119"/>
  <c r="N71" i="50" s="1"/>
  <c r="X71" i="50" s="1"/>
  <c r="X128" i="50" s="1"/>
  <c r="O71" i="50" l="1"/>
  <c r="X130" i="50"/>
  <c r="E10" i="52" s="1"/>
  <c r="R71" i="50"/>
  <c r="B26" i="119"/>
  <c r="N71" i="10"/>
  <c r="X71" i="10" s="1"/>
  <c r="I20" i="119"/>
  <c r="I19" i="119"/>
  <c r="R128" i="50" l="1"/>
  <c r="R130" i="50" s="1"/>
  <c r="E4" i="52"/>
  <c r="F10" i="52"/>
  <c r="G10" i="52"/>
  <c r="R71" i="10"/>
  <c r="O71" i="10"/>
  <c r="E10" i="2"/>
  <c r="B21" i="119"/>
  <c r="K71" i="50" l="1"/>
  <c r="K71" i="51"/>
  <c r="K71" i="10"/>
  <c r="I10" i="2"/>
  <c r="F10" i="2"/>
  <c r="G10" i="2"/>
  <c r="F4" i="52"/>
  <c r="G4" i="52"/>
  <c r="B23" i="119"/>
  <c r="B24" i="119"/>
  <c r="AV71" i="10" l="1"/>
  <c r="E20" i="47" s="1"/>
  <c r="M71" i="51"/>
  <c r="M71" i="50"/>
  <c r="M71" i="10"/>
  <c r="E66" i="47" l="1"/>
  <c r="G66" i="47" s="1"/>
  <c r="G20" i="47"/>
  <c r="N90" i="10" l="1"/>
  <c r="N90" i="51"/>
  <c r="J90" i="50"/>
  <c r="J90" i="51"/>
  <c r="J90" i="10"/>
  <c r="K90" i="51"/>
  <c r="K90" i="10"/>
  <c r="AW90" i="10" s="1"/>
  <c r="E21" i="47" s="1"/>
  <c r="K90" i="50"/>
  <c r="AL90" i="10" l="1"/>
  <c r="D18" i="47" s="1"/>
  <c r="D64" i="47" s="1"/>
  <c r="BR90" i="10"/>
  <c r="D4" i="47" s="1"/>
  <c r="AO90" i="10"/>
  <c r="D21" i="47" s="1"/>
  <c r="D67" i="47" s="1"/>
  <c r="E67" i="47"/>
  <c r="V90" i="51"/>
  <c r="V128" i="51" s="1"/>
  <c r="V130" i="51" s="1"/>
  <c r="E8" i="53" s="1"/>
  <c r="F8" i="53" s="1"/>
  <c r="Y90" i="51"/>
  <c r="Y128" i="51" s="1"/>
  <c r="Y130" i="51" s="1"/>
  <c r="E11" i="53" s="1"/>
  <c r="V90" i="10"/>
  <c r="E8" i="2" s="1"/>
  <c r="I8" i="2" s="1"/>
  <c r="Y90" i="10"/>
  <c r="E11" i="2" s="1"/>
  <c r="E16" i="47"/>
  <c r="E62" i="47" s="1"/>
  <c r="AT90" i="10"/>
  <c r="E18" i="47" s="1"/>
  <c r="E64" i="47" s="1"/>
  <c r="U90" i="51"/>
  <c r="T90" i="51"/>
  <c r="D17" i="47"/>
  <c r="D63" i="47" s="1"/>
  <c r="D5" i="47"/>
  <c r="D16" i="47"/>
  <c r="D62" i="47" s="1"/>
  <c r="E7" i="2"/>
  <c r="I7" i="2" s="1"/>
  <c r="E6" i="2"/>
  <c r="I6" i="2" s="1"/>
  <c r="E19" i="47"/>
  <c r="E65" i="47" s="1"/>
  <c r="E17" i="47"/>
  <c r="E63" i="47" s="1"/>
  <c r="L90" i="10"/>
  <c r="BE90" i="10" s="1"/>
  <c r="F21" i="47" s="1"/>
  <c r="F67" i="47" s="1"/>
  <c r="L90" i="51"/>
  <c r="L90" i="50"/>
  <c r="M90" i="50"/>
  <c r="W90" i="51"/>
  <c r="R90" i="51"/>
  <c r="R128" i="51" s="1"/>
  <c r="R90" i="10"/>
  <c r="E9" i="2"/>
  <c r="O90" i="10"/>
  <c r="D9" i="47"/>
  <c r="D19" i="47"/>
  <c r="M90" i="10"/>
  <c r="G8" i="2" l="1"/>
  <c r="E4" i="47"/>
  <c r="F4" i="47" s="1"/>
  <c r="D50" i="47"/>
  <c r="E50" i="47" s="1"/>
  <c r="F50" i="47" s="1"/>
  <c r="F8" i="2"/>
  <c r="G8" i="53"/>
  <c r="F11" i="53"/>
  <c r="G11" i="53"/>
  <c r="F11" i="2"/>
  <c r="G11" i="2"/>
  <c r="G21" i="47"/>
  <c r="G67" i="47"/>
  <c r="U128" i="51"/>
  <c r="U130" i="51" s="1"/>
  <c r="E7" i="53" s="1"/>
  <c r="W128" i="51"/>
  <c r="W130" i="51" s="1"/>
  <c r="E9" i="53" s="1"/>
  <c r="G9" i="53" s="1"/>
  <c r="F16" i="47"/>
  <c r="F62" i="47" s="1"/>
  <c r="G62" i="47" s="1"/>
  <c r="BB90" i="10"/>
  <c r="F18" i="47" s="1"/>
  <c r="F64" i="47" s="1"/>
  <c r="G64" i="47" s="1"/>
  <c r="T128" i="51"/>
  <c r="T130" i="51" s="1"/>
  <c r="E6" i="53" s="1"/>
  <c r="G6" i="53" s="1"/>
  <c r="E22" i="47"/>
  <c r="F7" i="2"/>
  <c r="G7" i="2"/>
  <c r="E5" i="47"/>
  <c r="F5" i="47" s="1"/>
  <c r="D51" i="47"/>
  <c r="E51" i="47" s="1"/>
  <c r="F51" i="47" s="1"/>
  <c r="F6" i="2"/>
  <c r="G6" i="2"/>
  <c r="F19" i="47"/>
  <c r="F65" i="47" s="1"/>
  <c r="F17" i="47"/>
  <c r="M90" i="51"/>
  <c r="R141" i="51"/>
  <c r="R130" i="51"/>
  <c r="I9" i="2"/>
  <c r="F9" i="2"/>
  <c r="G9" i="2"/>
  <c r="E4" i="2"/>
  <c r="M9" i="2" s="1"/>
  <c r="D55" i="47"/>
  <c r="E9" i="47"/>
  <c r="D10" i="47"/>
  <c r="D65" i="47"/>
  <c r="D68" i="47" s="1"/>
  <c r="D22" i="47"/>
  <c r="E68" i="47"/>
  <c r="M11" i="2" l="1"/>
  <c r="G18" i="47"/>
  <c r="G16" i="47"/>
  <c r="G7" i="53"/>
  <c r="F7" i="53"/>
  <c r="E4" i="53"/>
  <c r="F4" i="53" s="1"/>
  <c r="F6" i="53"/>
  <c r="F9" i="53"/>
  <c r="F22" i="47"/>
  <c r="G22" i="47" s="1"/>
  <c r="G19" i="47"/>
  <c r="F63" i="47"/>
  <c r="G63" i="47" s="1"/>
  <c r="G17" i="47"/>
  <c r="M10" i="2"/>
  <c r="M8" i="2"/>
  <c r="M6" i="2"/>
  <c r="G4" i="2"/>
  <c r="F4" i="2"/>
  <c r="M5" i="2"/>
  <c r="I4" i="2"/>
  <c r="M7" i="2"/>
  <c r="G65" i="47"/>
  <c r="F9" i="47"/>
  <c r="F10" i="47" s="1"/>
  <c r="E10" i="47"/>
  <c r="E55" i="47"/>
  <c r="D56" i="47"/>
  <c r="G4" i="53" l="1"/>
  <c r="M12" i="2"/>
  <c r="F68" i="47"/>
  <c r="G68" i="47" s="1"/>
  <c r="F55" i="47"/>
  <c r="F56" i="47" s="1"/>
  <c r="E56" i="47"/>
  <c r="B27" i="143" l="1"/>
  <c r="B26" i="143"/>
  <c r="I22" i="143"/>
</calcChain>
</file>

<file path=xl/comments1.xml><?xml version="1.0" encoding="utf-8"?>
<comments xmlns="http://schemas.openxmlformats.org/spreadsheetml/2006/main">
  <authors>
    <author>Daniel Conrotte</author>
  </authors>
  <commentList>
    <comment ref="H17" authorId="0">
      <text>
        <r>
          <rPr>
            <b/>
            <sz val="9"/>
            <color indexed="81"/>
            <rFont val="Tahoma"/>
            <family val="2"/>
          </rPr>
          <t>chiffre TRES prudent</t>
        </r>
        <r>
          <rPr>
            <sz val="9"/>
            <color indexed="81"/>
            <rFont val="Tahoma"/>
            <family val="2"/>
          </rPr>
          <t xml:space="preserve">
</t>
        </r>
      </text>
    </comment>
    <comment ref="K17" authorId="0">
      <text>
        <r>
          <rPr>
            <b/>
            <sz val="9"/>
            <color indexed="81"/>
            <rFont val="Tahoma"/>
            <family val="2"/>
          </rPr>
          <t xml:space="preserve">voir ADU-38
</t>
        </r>
        <r>
          <rPr>
            <sz val="9"/>
            <color indexed="81"/>
            <rFont val="Tahoma"/>
            <family val="2"/>
          </rPr>
          <t xml:space="preserve">
</t>
        </r>
      </text>
    </comment>
  </commentList>
</comments>
</file>

<file path=xl/comments2.xml><?xml version="1.0" encoding="utf-8"?>
<comments xmlns="http://schemas.openxmlformats.org/spreadsheetml/2006/main">
  <authors>
    <author>Daniel Conrotte</author>
  </authors>
  <commentList>
    <comment ref="H17" authorId="0">
      <text>
        <r>
          <rPr>
            <b/>
            <sz val="9"/>
            <color indexed="81"/>
            <rFont val="Tahoma"/>
            <family val="2"/>
          </rPr>
          <t>chiffre TRES prudent</t>
        </r>
        <r>
          <rPr>
            <sz val="9"/>
            <color indexed="81"/>
            <rFont val="Tahoma"/>
            <family val="2"/>
          </rPr>
          <t xml:space="preserve">
</t>
        </r>
      </text>
    </comment>
    <comment ref="K17" authorId="0">
      <text>
        <r>
          <rPr>
            <b/>
            <sz val="9"/>
            <color indexed="81"/>
            <rFont val="Tahoma"/>
            <family val="2"/>
          </rPr>
          <t xml:space="preserve">voir ADU-38
</t>
        </r>
        <r>
          <rPr>
            <sz val="9"/>
            <color indexed="81"/>
            <rFont val="Tahoma"/>
            <family val="2"/>
          </rPr>
          <t xml:space="preserve">
</t>
        </r>
      </text>
    </comment>
  </commentList>
</comments>
</file>

<file path=xl/sharedStrings.xml><?xml version="1.0" encoding="utf-8"?>
<sst xmlns="http://schemas.openxmlformats.org/spreadsheetml/2006/main" count="14624" uniqueCount="1326">
  <si>
    <t>Titre de l'action</t>
  </si>
  <si>
    <t>Cible</t>
  </si>
  <si>
    <t>Description</t>
  </si>
  <si>
    <t>Personne de contact</t>
  </si>
  <si>
    <t>Date de lancement</t>
  </si>
  <si>
    <t>Échéance</t>
  </si>
  <si>
    <t>Estimation du coût</t>
  </si>
  <si>
    <t>Subside</t>
  </si>
  <si>
    <t>Gain financier annuel</t>
  </si>
  <si>
    <t>Rentrée financière annuelle liée aux CV</t>
  </si>
  <si>
    <t>-</t>
  </si>
  <si>
    <t>Objectif territorial</t>
  </si>
  <si>
    <t>tCO2éq</t>
  </si>
  <si>
    <t>%</t>
  </si>
  <si>
    <t>Porteur de projet</t>
  </si>
  <si>
    <t>Partenaires potentiels</t>
  </si>
  <si>
    <t>Etat d'avancement</t>
  </si>
  <si>
    <t>A faire</t>
  </si>
  <si>
    <t>En cours</t>
  </si>
  <si>
    <t>Terminé</t>
  </si>
  <si>
    <t>Ne pas réaliser</t>
  </si>
  <si>
    <t>Objectifs spécifiques</t>
  </si>
  <si>
    <t>Autres impacts (socio-économique, etc…)</t>
  </si>
  <si>
    <t>Fiche action</t>
  </si>
  <si>
    <t>Objectif spécifique visé</t>
  </si>
  <si>
    <t>Coût</t>
  </si>
  <si>
    <t>CV</t>
  </si>
  <si>
    <t>TR</t>
  </si>
  <si>
    <t>Réduction des émissions de (tCO2éq/an)</t>
  </si>
  <si>
    <t>Remarques</t>
  </si>
  <si>
    <t>Réalisé</t>
  </si>
  <si>
    <t>Logement</t>
  </si>
  <si>
    <t>Citoyens</t>
  </si>
  <si>
    <t>Possibilité de création d'emploi local via le recours à des entreprises locales ou le développement de npouvelles structures de type EFT, etc…</t>
  </si>
  <si>
    <t>Transport</t>
  </si>
  <si>
    <t>Agriculteurs</t>
  </si>
  <si>
    <t>Agriculture</t>
  </si>
  <si>
    <t>Communal</t>
  </si>
  <si>
    <t>Tertiaire</t>
  </si>
  <si>
    <t>Territorial</t>
  </si>
  <si>
    <t>PAED</t>
  </si>
  <si>
    <t>A investiguer</t>
  </si>
  <si>
    <t>Objectif</t>
  </si>
  <si>
    <t>Investissement</t>
  </si>
  <si>
    <t>Budget</t>
  </si>
  <si>
    <t>Fonds propres</t>
  </si>
  <si>
    <t>Fonds propres/an</t>
  </si>
  <si>
    <t>Budget par porteur de projet</t>
  </si>
  <si>
    <t>Budget par objectif</t>
  </si>
  <si>
    <t xml:space="preserve">Objectifs </t>
  </si>
  <si>
    <t>Elec</t>
  </si>
  <si>
    <t>Gaz nat</t>
  </si>
  <si>
    <t>Prod. Petr.</t>
  </si>
  <si>
    <t>Tous vecteurs</t>
  </si>
  <si>
    <t>Industrie</t>
  </si>
  <si>
    <t xml:space="preserve">Prise en compte des installations photovoltaïques privées de puissance &lt; 10 kWc réalisées depuis 2006
</t>
  </si>
  <si>
    <t>T CO2</t>
  </si>
  <si>
    <t>Autres</t>
  </si>
  <si>
    <t>Total secteurs clés de la CoM</t>
  </si>
  <si>
    <t>Emissions totales</t>
  </si>
  <si>
    <t xml:space="preserve">% des émissions </t>
  </si>
  <si>
    <t>% de l'objectif</t>
  </si>
  <si>
    <t>Economie d'énergie                 MWh / an</t>
  </si>
  <si>
    <t>Production d'énergie renouvelable      MWh/an</t>
  </si>
  <si>
    <t>MWh</t>
  </si>
  <si>
    <t>Consommation totale</t>
  </si>
  <si>
    <t>Idélux - AIVE</t>
  </si>
  <si>
    <t>Solaire thermique</t>
  </si>
  <si>
    <t>Installation solaires thermiques existantes</t>
  </si>
  <si>
    <t>industrie</t>
  </si>
  <si>
    <t>ADU-1</t>
  </si>
  <si>
    <t>ADU-2</t>
  </si>
  <si>
    <t>ADU-3</t>
  </si>
  <si>
    <t>ADU-5</t>
  </si>
  <si>
    <t>ADU-6</t>
  </si>
  <si>
    <t>ADU-7</t>
  </si>
  <si>
    <t>Tous publics</t>
  </si>
  <si>
    <t>Analyse thermographique</t>
  </si>
  <si>
    <t>ADO-3</t>
  </si>
  <si>
    <t>ADU-8</t>
  </si>
  <si>
    <t>ADU-9</t>
  </si>
  <si>
    <t>ADU-10</t>
  </si>
  <si>
    <t>ADU-12</t>
  </si>
  <si>
    <t>Bâtiments communaux</t>
  </si>
  <si>
    <t>ADU-13</t>
  </si>
  <si>
    <t>Via une centrale d'achat, permettre aux citoyens de s'équiper de luminaires à faible consommation</t>
  </si>
  <si>
    <t>Chaudières à condensation</t>
  </si>
  <si>
    <t>Estimation de gain en rendement: 10 %</t>
  </si>
  <si>
    <t>ADU-14</t>
  </si>
  <si>
    <t>ADU-15</t>
  </si>
  <si>
    <t>ADU-16</t>
  </si>
  <si>
    <t>ADU-17</t>
  </si>
  <si>
    <t>ADU-18</t>
  </si>
  <si>
    <t>ADU-19</t>
  </si>
  <si>
    <t>ADU-20</t>
  </si>
  <si>
    <t>ADU-21</t>
  </si>
  <si>
    <t>ADU-22</t>
  </si>
  <si>
    <t>ADU-23</t>
  </si>
  <si>
    <t xml:space="preserve">Installation solaires thermiques </t>
  </si>
  <si>
    <t>ADU-24</t>
  </si>
  <si>
    <t>Centrale biogaz alimentée par les lisiers et fumiers du bétail.</t>
  </si>
  <si>
    <t>ADU-25</t>
  </si>
  <si>
    <t>Installation biogaz alimentée avec les produits de 100 ha de cultures dédiées</t>
  </si>
  <si>
    <t>ADU-30</t>
  </si>
  <si>
    <t>Formation à l'éco-conduite</t>
  </si>
  <si>
    <t>ADU-31</t>
  </si>
  <si>
    <t>Covoiturage</t>
  </si>
  <si>
    <t>gain conso</t>
  </si>
  <si>
    <t>conducteur</t>
  </si>
  <si>
    <t>conso</t>
  </si>
  <si>
    <t>km évités</t>
  </si>
  <si>
    <t>Véhicules de service</t>
  </si>
  <si>
    <t>ADU-32</t>
  </si>
  <si>
    <t>ADU-33</t>
  </si>
  <si>
    <t>ADU-34</t>
  </si>
  <si>
    <t>Borne de recharge</t>
  </si>
  <si>
    <t>ADU-35</t>
  </si>
  <si>
    <t>prix mazout</t>
  </si>
  <si>
    <t>coef mazout</t>
  </si>
  <si>
    <t>coef élec</t>
  </si>
  <si>
    <t>prix kWh</t>
  </si>
  <si>
    <t>prix élec</t>
  </si>
  <si>
    <t>ADO-1</t>
  </si>
  <si>
    <t>ADO-2</t>
  </si>
  <si>
    <t>Cellule Energie et Développement Durable</t>
  </si>
  <si>
    <t>ADO-7</t>
  </si>
  <si>
    <t>ADO-4</t>
  </si>
  <si>
    <t>URE</t>
  </si>
  <si>
    <t>potentiel éco</t>
  </si>
  <si>
    <t>conso Logement</t>
  </si>
  <si>
    <t>coef mix</t>
  </si>
  <si>
    <t>ADO-6</t>
  </si>
  <si>
    <t>ADO-5</t>
  </si>
  <si>
    <t>nbre ménages</t>
  </si>
  <si>
    <t>ADO-8</t>
  </si>
  <si>
    <t>ADO-9</t>
  </si>
  <si>
    <t>nbre installations</t>
  </si>
  <si>
    <t>m² moyen</t>
  </si>
  <si>
    <t>énergie utile kWh</t>
  </si>
  <si>
    <t>Pc kW</t>
  </si>
  <si>
    <t>production kWc</t>
  </si>
  <si>
    <t>coût €/Wc</t>
  </si>
  <si>
    <t xml:space="preserve">prix élec </t>
  </si>
  <si>
    <t>prix CV</t>
  </si>
  <si>
    <t>Q chaleur</t>
  </si>
  <si>
    <t>Q élec</t>
  </si>
  <si>
    <t>Logements</t>
  </si>
  <si>
    <t>cout/m²</t>
  </si>
  <si>
    <t>m² total</t>
  </si>
  <si>
    <t>prix l fuel</t>
  </si>
  <si>
    <t>émission pétrole</t>
  </si>
  <si>
    <t>nbre logement</t>
  </si>
  <si>
    <t>potentiel éco %</t>
  </si>
  <si>
    <t>toits</t>
  </si>
  <si>
    <t>murs</t>
  </si>
  <si>
    <t>fenêtres</t>
  </si>
  <si>
    <t>% éco</t>
  </si>
  <si>
    <t>Emission pétrole</t>
  </si>
  <si>
    <t>nbre de luminaires</t>
  </si>
  <si>
    <t>p moyenne avant W</t>
  </si>
  <si>
    <t>h util / j</t>
  </si>
  <si>
    <t>émissions élec</t>
  </si>
  <si>
    <t>€/pce</t>
  </si>
  <si>
    <t>nbre chaudières</t>
  </si>
  <si>
    <t>conso moyenne L</t>
  </si>
  <si>
    <t>prix chaudière</t>
  </si>
  <si>
    <t>Estimation de réduction en énergie fossile: moyenne de 1696 l / chaudière</t>
  </si>
  <si>
    <t>P installation</t>
  </si>
  <si>
    <t>kWh/m²/an</t>
  </si>
  <si>
    <t>émission élec RN</t>
  </si>
  <si>
    <t>Wc/instl</t>
  </si>
  <si>
    <t>prix/Wc</t>
  </si>
  <si>
    <t>P total kWc</t>
  </si>
  <si>
    <t>nbre éoliennes</t>
  </si>
  <si>
    <t>P unit kW</t>
  </si>
  <si>
    <t>% charge</t>
  </si>
  <si>
    <t>pv élec</t>
  </si>
  <si>
    <t xml:space="preserve">jours </t>
  </si>
  <si>
    <t>heures</t>
  </si>
  <si>
    <t>cout/MW</t>
  </si>
  <si>
    <t>nbre têtes</t>
  </si>
  <si>
    <t>kWh/tête</t>
  </si>
  <si>
    <t>rendement ttl</t>
  </si>
  <si>
    <t>part élec %</t>
  </si>
  <si>
    <t>part chaleur %</t>
  </si>
  <si>
    <t>kWh élec</t>
  </si>
  <si>
    <t>kWh chaleur</t>
  </si>
  <si>
    <t>prix élc</t>
  </si>
  <si>
    <t>nbre ha</t>
  </si>
  <si>
    <t>MWh/ha</t>
  </si>
  <si>
    <t>ADU-26</t>
  </si>
  <si>
    <t>ADU-27</t>
  </si>
  <si>
    <t>nbre exploit</t>
  </si>
  <si>
    <t>exploit actif</t>
  </si>
  <si>
    <t>élec</t>
  </si>
  <si>
    <t>pétrole</t>
  </si>
  <si>
    <t>% réduction</t>
  </si>
  <si>
    <t>émiss pétrole</t>
  </si>
  <si>
    <t>émiss élec</t>
  </si>
  <si>
    <t>coût audit</t>
  </si>
  <si>
    <t>subside</t>
  </si>
  <si>
    <t>Processus de fabrication</t>
  </si>
  <si>
    <t>25 % d'économies dans 25 % des industries</t>
  </si>
  <si>
    <t>énergie élec</t>
  </si>
  <si>
    <t>énergie pétrole</t>
  </si>
  <si>
    <t>% économie</t>
  </si>
  <si>
    <t>% industrie</t>
  </si>
  <si>
    <t>Hypothèse: 50 % de gains en chaleur / 50 % de gains en électricité</t>
  </si>
  <si>
    <t>ADU-28</t>
  </si>
  <si>
    <t>nbre poêles</t>
  </si>
  <si>
    <t>éco moyenne L</t>
  </si>
  <si>
    <t>prix poêle</t>
  </si>
  <si>
    <t>éco énergie</t>
  </si>
  <si>
    <t>Installation biogaz alimentée par les lisiers et fumiers du bétail d'une petite exploitation.</t>
  </si>
  <si>
    <t>Prise en compte de 90 têtes, soit un potentiel brut de 234 MWh</t>
  </si>
  <si>
    <t>Installations</t>
  </si>
  <si>
    <t>Têtes / instal</t>
  </si>
  <si>
    <t>nbre conducteurs</t>
  </si>
  <si>
    <t>km/an</t>
  </si>
  <si>
    <t>conso /100 km</t>
  </si>
  <si>
    <t>prix  1 l diesel</t>
  </si>
  <si>
    <t>coût formation</t>
  </si>
  <si>
    <t>litres</t>
  </si>
  <si>
    <t>km moy</t>
  </si>
  <si>
    <t>jours/an</t>
  </si>
  <si>
    <t>nbre voiture</t>
  </si>
  <si>
    <t>km moy/an</t>
  </si>
  <si>
    <t>prix L diesel</t>
  </si>
  <si>
    <t>rendement thermique</t>
  </si>
  <si>
    <t>rendement élec</t>
  </si>
  <si>
    <t>émission élec</t>
  </si>
  <si>
    <t>cout diesel</t>
  </si>
  <si>
    <t>cout élec</t>
  </si>
  <si>
    <t>énergie diesel</t>
  </si>
  <si>
    <t>kWh</t>
  </si>
  <si>
    <t>énergie utile diesel</t>
  </si>
  <si>
    <t xml:space="preserve">énergie utile élec </t>
  </si>
  <si>
    <t>€</t>
  </si>
  <si>
    <t>jours</t>
  </si>
  <si>
    <t>km/jour</t>
  </si>
  <si>
    <t>prix diesel</t>
  </si>
  <si>
    <t>prix vélo</t>
  </si>
  <si>
    <t>nbre vélos</t>
  </si>
  <si>
    <t>conso évitée</t>
  </si>
  <si>
    <t>ADO-10</t>
  </si>
  <si>
    <t>ADO-11</t>
  </si>
  <si>
    <t>prod/kWc</t>
  </si>
  <si>
    <t>TOTAL</t>
  </si>
  <si>
    <t>Subs RW</t>
  </si>
  <si>
    <t>Ménages</t>
  </si>
  <si>
    <t>Montant</t>
  </si>
  <si>
    <t>ADU-61</t>
  </si>
  <si>
    <t>Sols</t>
  </si>
  <si>
    <t>% de réduction des émissions par secteur</t>
  </si>
  <si>
    <t>kWh économisé moyen</t>
  </si>
  <si>
    <t>conso Logement Pétrole</t>
  </si>
  <si>
    <t>conso Logement Autres</t>
  </si>
  <si>
    <t>Indicateur de suivi</t>
  </si>
  <si>
    <t>Nombre d'enfants participant- Objectif: 20</t>
  </si>
  <si>
    <t>Nombre de membres du comité de pilotage - Objectif: 5</t>
  </si>
  <si>
    <t>Nombre de séances organisées - Objectif: 1</t>
  </si>
  <si>
    <t>Nombre de séances organisées - Objectif: 9</t>
  </si>
  <si>
    <t>Nombre d'actions de communication - Objectif: 10</t>
  </si>
  <si>
    <t>Nombre d'actions de communication - Objectif: 5</t>
  </si>
  <si>
    <t>Source: Enquête communale</t>
  </si>
  <si>
    <t>Nombre de toitures isolées - Objectif: 1000</t>
  </si>
  <si>
    <t>Nombre de planchers isolés - Objectif: 400</t>
  </si>
  <si>
    <t>Nombre d'habitations avec murs isolés - Objectif: 300</t>
  </si>
  <si>
    <t>Nombre de travaux de remplacement de châssis - Objectif: 300</t>
  </si>
  <si>
    <t>Nombre d'ampoules achetée via la centrale d'achat - Objectif: 15000</t>
  </si>
  <si>
    <t>Nombre de chaudières remplacées - Objectif: 50</t>
  </si>
  <si>
    <t>Nombre de chaudières remplacées - Objectif: 100</t>
  </si>
  <si>
    <t>Source: CWaPE</t>
  </si>
  <si>
    <t>Nombre de nouvelles installations photovoltaïques - Objectif: 300</t>
  </si>
  <si>
    <t>Nombre de nouvelles installations photovoltaïques - Objectif: 10</t>
  </si>
  <si>
    <t>Puissance totale des nouvelles installations photovoltaïques - Objectif: 300 kWc</t>
  </si>
  <si>
    <t>Puissance totale des nouvelles installations photovoltaïques - Objectif: 100 kWc</t>
  </si>
  <si>
    <t>Source: CWaPE (cumuler avec l'indicateur de la fiche ADU-16)</t>
  </si>
  <si>
    <t>Nombre de nouvelles installations solaires thermiques - Objectif: 180</t>
  </si>
  <si>
    <t>Puissance électrique de l'unité de biométhanisation - Objectif: 200 kW</t>
  </si>
  <si>
    <t>Source: Porteur de projet</t>
  </si>
  <si>
    <t>Nombre d'exploitations participant concrètement - Objectif: 12</t>
  </si>
  <si>
    <t>Nombre d'industries participant concrètement - Objectif: 25%</t>
  </si>
  <si>
    <t>Nombre de poêles installés - Objectif: 60</t>
  </si>
  <si>
    <t>Exemple CWAPE (Qualiwatt)</t>
  </si>
  <si>
    <t>Puissance installée (kWc)</t>
  </si>
  <si>
    <t>[1] Investissement</t>
  </si>
  <si>
    <t>[2] Economie sur 8 ans</t>
  </si>
  <si>
    <t>[3] Coût d'entretien sur 8 ans</t>
  </si>
  <si>
    <t>Prime Qualitwatt = [1] - [2] + [3]</t>
  </si>
  <si>
    <t>http://www.cwape.be/docs/?doc=1459</t>
  </si>
  <si>
    <t>Nombre de CV par MWH</t>
  </si>
  <si>
    <t>Secteur</t>
  </si>
  <si>
    <t>nbre ménages actifs</t>
  </si>
  <si>
    <t>conso  pétrole Logement</t>
  </si>
  <si>
    <t>conso  Autres Logement</t>
  </si>
  <si>
    <t>coef pétrole</t>
  </si>
  <si>
    <t>Coef élec</t>
  </si>
  <si>
    <t>valeur CV €</t>
  </si>
  <si>
    <t>coût /installation</t>
  </si>
  <si>
    <t>Prime</t>
  </si>
  <si>
    <t>TRS sans subside (années)</t>
  </si>
  <si>
    <t>TRSavec subside (années)</t>
  </si>
  <si>
    <t>% des émissions du secteur spécifique</t>
  </si>
  <si>
    <t>% des émissions territoriales</t>
  </si>
  <si>
    <t xml:space="preserve">Réduction des émissions de T CO2 </t>
  </si>
  <si>
    <t>Production d'énergie renouvelable kWh/an</t>
  </si>
  <si>
    <t>Economie d'énergie annuelle kWh/an</t>
  </si>
  <si>
    <t>Energie éolienne</t>
  </si>
  <si>
    <t>hab province</t>
  </si>
  <si>
    <t>hab commune</t>
  </si>
  <si>
    <t>prod totale</t>
  </si>
  <si>
    <t>coef elec</t>
  </si>
  <si>
    <t>Il s'agit de la part communale, au prorata du nombre d'habitants, des productions éoliennes de 2 parcs ayant fait l'objet d'investissement de la part d'IDELUX - SOFILUX</t>
  </si>
  <si>
    <t>Parcs: Bastogne 1 et Hondelange</t>
  </si>
  <si>
    <t>Prise en compte des énergies produites par:                                        - Le CET de Tenneville (biométhanisation sur base des déchets ménagers + séchage de boues combustibles - PCI = 4,3 kWh / kg)                                                                                                                 - Le site de Habay (biométhanisation sur base des déchets encombrants ou non recyclable) .                                                        Les quantités d'énergie sont calculées au prorata du nombre d'habitants de chaque Commune.                                                           - le biogaz produit par la méthanisation de boues d'épuration dans les centres de Marche et Bastogne au prorata du nombre de m³ valorisés par la Commune.</t>
  </si>
  <si>
    <t>Q chaleur boues</t>
  </si>
  <si>
    <t>source AIVE</t>
  </si>
  <si>
    <t>Réseau de haies</t>
  </si>
  <si>
    <t>Réintroduction de haies vives</t>
  </si>
  <si>
    <t>km</t>
  </si>
  <si>
    <t>vol chauff M³/km</t>
  </si>
  <si>
    <t>vol tot chauff M³</t>
  </si>
  <si>
    <t>équi mazout</t>
  </si>
  <si>
    <t>coût €/ m</t>
  </si>
  <si>
    <t>subside RW</t>
  </si>
  <si>
    <t xml:space="preserve">vol/pied haie M³/km </t>
  </si>
  <si>
    <t>vol total haie M³</t>
  </si>
  <si>
    <t>CO² fixé total</t>
  </si>
  <si>
    <t>CO² fixé T/M³</t>
  </si>
  <si>
    <t>TRS avec subside (années)</t>
  </si>
  <si>
    <t>Séquestration de CO2 par reboisement</t>
  </si>
  <si>
    <t>Reboisement d'aires non valorisées</t>
  </si>
  <si>
    <t>ha</t>
  </si>
  <si>
    <t>vol moyen M³/ha</t>
  </si>
  <si>
    <t>CO2 stocké T/M³</t>
  </si>
  <si>
    <t>valeur CO2 fonction d'un mix d'essences feuillus et résineux</t>
  </si>
  <si>
    <t>PLANNING</t>
  </si>
  <si>
    <t>ACTION</t>
  </si>
  <si>
    <t>IDELUX</t>
  </si>
  <si>
    <t>Réductions CO2 territoriales réalisées</t>
  </si>
  <si>
    <t>Réductions CO2  agriculture réalisées</t>
  </si>
  <si>
    <t>Réductions CO2  industrie réalisées</t>
  </si>
  <si>
    <t>Réductions CO2 logement réalisées</t>
  </si>
  <si>
    <t>Réductions CO2 tertiaire réalisées</t>
  </si>
  <si>
    <t>Réductions CO2 transport réalisées</t>
  </si>
  <si>
    <t>Réductions CO2 communales réalisées</t>
  </si>
  <si>
    <t>Invest Territoire</t>
  </si>
  <si>
    <t xml:space="preserve">Invest agriculture </t>
  </si>
  <si>
    <t xml:space="preserve">Invest industrie </t>
  </si>
  <si>
    <t xml:space="preserve">Invest logement </t>
  </si>
  <si>
    <t xml:space="preserve">invest tertiaire </t>
  </si>
  <si>
    <t xml:space="preserve">invest transport </t>
  </si>
  <si>
    <t>Invests Commune</t>
  </si>
  <si>
    <t>Subside Territoire</t>
  </si>
  <si>
    <t xml:space="preserve">Subside agriculture </t>
  </si>
  <si>
    <t xml:space="preserve">Subside industrie </t>
  </si>
  <si>
    <t xml:space="preserve">Subside logement </t>
  </si>
  <si>
    <t xml:space="preserve">Subside tertiaire </t>
  </si>
  <si>
    <t xml:space="preserve">Subside transport </t>
  </si>
  <si>
    <t>Subside Commune</t>
  </si>
  <si>
    <t>GF Territoire</t>
  </si>
  <si>
    <t xml:space="preserve">GFagriculture </t>
  </si>
  <si>
    <t xml:space="preserve">GFindustrie </t>
  </si>
  <si>
    <t xml:space="preserve">GF logement </t>
  </si>
  <si>
    <t xml:space="preserve">GF tertiaire </t>
  </si>
  <si>
    <t xml:space="preserve">GF transport </t>
  </si>
  <si>
    <t>GF Commune</t>
  </si>
  <si>
    <t>CVTerritoire</t>
  </si>
  <si>
    <t xml:space="preserve">CV agriculture </t>
  </si>
  <si>
    <t xml:space="preserve">CV industrie </t>
  </si>
  <si>
    <t xml:space="preserve">CV logement </t>
  </si>
  <si>
    <t xml:space="preserve">CV  tertiaire </t>
  </si>
  <si>
    <t xml:space="preserve">CV  transport </t>
  </si>
  <si>
    <t>CV Commune</t>
  </si>
  <si>
    <t>Porteur Agriculture</t>
  </si>
  <si>
    <t>Porteur Industrie</t>
  </si>
  <si>
    <t>Porteur Citoyen</t>
  </si>
  <si>
    <t>Porteur IDELUX</t>
  </si>
  <si>
    <t>Porteur Tertiaire</t>
  </si>
  <si>
    <t>Territoire</t>
  </si>
  <si>
    <t>Organisation de réunions d'information, distribution de documentation permettant aux agriculteurs de bien cerner leurs potentiels de production d'énergie, en valorisant leurs déchets, notamment. Un partenariat pourrait être mis en place avec Valbiom et le CRA pour informer les agriculteurs sur les pistes suivantes d'économie d'énergie à la ferme:                                         • Guide « Economisez l’énergie à la ferme »
• Etudes de potentiel de biométhanisation et de chaudières biomasse par le facilitateur (Valbiom)
• Réduction de la consommation des tracteurs et machines agricoles grâce à l’outil en ligne : http://mecacost.cra.wallonie.be/
• Réduction de la consommation électrique des exploitations laitières (installation d’un prérefroidisseur)
• Outil de diagnostic complet de l’exploitation actuellement en phase de test au CRA. Possibilité de mettre en place un partenariat pour intégrer des agriculteurs de la province dans cette phase test (échantillonnage)</t>
  </si>
  <si>
    <t>Avec l'appui du facilitateur wallon pour la filière biogaz</t>
  </si>
  <si>
    <t>Valbiom, CRA</t>
  </si>
  <si>
    <t>Entreprises tous secteurs</t>
  </si>
  <si>
    <t>Information aux entreprises</t>
  </si>
  <si>
    <t>Avec l'appui du facilitateur wallon des entreprises, fournir aux sociétés, aux artisans des informations pour leur permettre de réduire leur consommation énergétique ou de produire des énergies renouvelables</t>
  </si>
  <si>
    <t>Avec l'appui du facilitateur wallon pour la filière Industrie</t>
  </si>
  <si>
    <t>Bastogne</t>
  </si>
  <si>
    <t>Hondelange</t>
  </si>
  <si>
    <t>Arbres/ ha</t>
  </si>
  <si>
    <t>Coût / arbre</t>
  </si>
  <si>
    <t>nbre pompes</t>
  </si>
  <si>
    <t>prix pompe</t>
  </si>
  <si>
    <t>COP</t>
  </si>
  <si>
    <t>Conso PAC élec</t>
  </si>
  <si>
    <t xml:space="preserve">Prix fuel </t>
  </si>
  <si>
    <t>Prix électricité</t>
  </si>
  <si>
    <t>prime</t>
  </si>
  <si>
    <t>Nombre de PAC installées - Objectif: 10</t>
  </si>
  <si>
    <r>
      <t>Stockage des intrants - silos 2000m</t>
    </r>
    <r>
      <rPr>
        <b/>
        <vertAlign val="superscript"/>
        <sz val="12"/>
        <color rgb="FFFFFFFF"/>
        <rFont val="Calibri"/>
        <family val="2"/>
      </rPr>
      <t>3</t>
    </r>
  </si>
  <si>
    <t>Digesteur</t>
  </si>
  <si>
    <t>Cogénération – 70 kW</t>
  </si>
  <si>
    <t>Valorisation de la chaleur</t>
  </si>
  <si>
    <r>
      <t>Stockage des digestats – lagune 2000m</t>
    </r>
    <r>
      <rPr>
        <b/>
        <vertAlign val="superscript"/>
        <sz val="12"/>
        <color rgb="FFFFFFFF"/>
        <rFont val="Calibri"/>
        <family val="2"/>
      </rPr>
      <t>3</t>
    </r>
  </si>
  <si>
    <t>max</t>
  </si>
  <si>
    <t>Prod/unit kWh</t>
  </si>
  <si>
    <t xml:space="preserve">sources: </t>
  </si>
  <si>
    <t>Source</t>
  </si>
  <si>
    <t>source</t>
  </si>
  <si>
    <t>http://www.ef4.be/fr/photovoltaique/cv/</t>
  </si>
  <si>
    <t>Mode de financement</t>
  </si>
  <si>
    <t>Prêt bancaire</t>
  </si>
  <si>
    <t>Subs EU</t>
  </si>
  <si>
    <t>1/3 invest</t>
  </si>
  <si>
    <t>CrowdFund</t>
  </si>
  <si>
    <t>Autre</t>
  </si>
  <si>
    <t>Montage</t>
  </si>
  <si>
    <t>Subs Com</t>
  </si>
  <si>
    <t>Pompes à chaleur GEO</t>
  </si>
  <si>
    <t>Pompes à chaleur A-A</t>
  </si>
  <si>
    <t>Pompes à chaleur A-E</t>
  </si>
  <si>
    <t>Pompes à chaleur A-E pour ECS</t>
  </si>
  <si>
    <t>Remplace la consommation de  350 l de mazout</t>
  </si>
  <si>
    <t>ECOPÄCK</t>
  </si>
  <si>
    <t>Sponsoring</t>
  </si>
  <si>
    <t>Primes RW</t>
  </si>
  <si>
    <t>Primes communales</t>
  </si>
  <si>
    <t xml:space="preserve">Information </t>
  </si>
  <si>
    <t>Information des citoyens</t>
  </si>
  <si>
    <t>Sensibilisation</t>
  </si>
  <si>
    <t>Enjeux du réchauffement climatique</t>
  </si>
  <si>
    <t>Centrale d'achat</t>
  </si>
  <si>
    <t>Mise en place via la constitution d'une asbl d'une centrale d'achat ou utilisation d'une centrale d'achat existante. Le but est d'offrir à la population des possibilités d'achats groupés.</t>
  </si>
  <si>
    <t>Mobilisation</t>
  </si>
  <si>
    <t>Evènement festif Supra communal</t>
  </si>
  <si>
    <t>Evènement festif regroupant plusieurs Communes voisines pour donner l'occasion à chacune de présenter ses réalisations, faire la promotion d'équipements propres, etc. Par exemple, un rallye de voitures ou de vélos électriques.</t>
  </si>
  <si>
    <t>Formation et Information</t>
  </si>
  <si>
    <t>Production de combustible biomasse</t>
  </si>
  <si>
    <t>Récolte  T/an/ha</t>
  </si>
  <si>
    <t>Equivalent mazout L</t>
  </si>
  <si>
    <t>coeff mazout</t>
  </si>
  <si>
    <t>Coûtplantation €/ha</t>
  </si>
  <si>
    <t>Prix de vente € / T</t>
  </si>
  <si>
    <t>Coût /m²</t>
  </si>
  <si>
    <t>Via une centrale d'achat, permettre aux citoyens d'acquérir des équipements peu énergivores tels que frigidaires, congélateurs, laves-linge, etc</t>
  </si>
  <si>
    <t xml:space="preserve"> économie</t>
  </si>
  <si>
    <t>économie de 300 kWh /an / appareil</t>
  </si>
  <si>
    <t>Remplace la consommation de  600 l de mazout</t>
  </si>
  <si>
    <t>7500 pièces et réduction de 30 % de la consommation initiale</t>
  </si>
  <si>
    <t>cout unitaire</t>
  </si>
  <si>
    <t>Vélos à assistance électrique</t>
  </si>
  <si>
    <t>Vélos</t>
  </si>
  <si>
    <t xml:space="preserve">En posant un trajet unitaire quotidien de 10 km 150 jours par an, on obtient une économie de 75.000 km/an. En considérant le remplacement d'une consommation moyenne d’essence de 6 litres par 100 km, on obtient une économie de 4.500 litres, soit une réduction des émissions de CO2 de 11,7 t/an. </t>
  </si>
  <si>
    <t>Nous proposons que 12 exploitations de la commune  soient étudiées. Objectif de réduction: 20% des émissions sur ces 12 exploitations</t>
  </si>
  <si>
    <t xml:space="preserve"> Il s’agit de mettre en place et d’animer un groupe de travail qui visera à fédérer les agriculteurs désireux de s’inscrire dans une démarche durable et à les accompagner dans leur réflexion. 
Un diagnostic énergétique des 12 exploitations sera réalisé en collaboration avec Valbiom par la méthode « Diagnostic Planète » développée par SolAGRO . Les pistes d’économie d’énergie à la ferme sont nombreuses :
- Bâtiments : ventilation efficace, isolation, éclairage naturel ou basse consommation, orientation
- Alimentation du bétail : produits locaux, optimisation de l’utilisation des fourrages de l’exploitation
- Pâturage : importance des légumineuses, diminution du coût des aliments, diminution du temps de travail
- Culture : utilisation raisonnée des produits phytosanitaires et des engrais, ajustement de fertilisation, implantation de CIPAN, rotation, non-labour, techniques culturales simplifiées
- Traîte : réduction de la consommation électrique
- Machines agricoles : optimalisation, entretien et réglage régulier, organisation des chantiers, utilisation rationnelle des engins motorisés, conduite adaptée
</t>
  </si>
  <si>
    <t>GWh</t>
  </si>
  <si>
    <t>Performance énergétique</t>
  </si>
  <si>
    <t>conso elec 2006</t>
  </si>
  <si>
    <t>conso gn 2006</t>
  </si>
  <si>
    <t>conso pétro 2006</t>
  </si>
  <si>
    <t>conso autres 2006</t>
  </si>
  <si>
    <t>coef gn</t>
  </si>
  <si>
    <t>coef pétro</t>
  </si>
  <si>
    <t>coef autre</t>
  </si>
  <si>
    <t>prix elec 2006</t>
  </si>
  <si>
    <t>prix gn 2006</t>
  </si>
  <si>
    <t>prix pétro 2006</t>
  </si>
  <si>
    <t>prix autres 2006</t>
  </si>
  <si>
    <t>gain 2012</t>
  </si>
  <si>
    <t>% chaleur</t>
  </si>
  <si>
    <t>% électricité</t>
  </si>
  <si>
    <t xml:space="preserve">Performance énergétique </t>
  </si>
  <si>
    <t>25 % d'économies en chaleur et 20 % en électricité</t>
  </si>
  <si>
    <t>Financement</t>
  </si>
  <si>
    <t>Subsidiation</t>
  </si>
  <si>
    <t>coef fuel</t>
  </si>
  <si>
    <t>Conso fuel 2006 L</t>
  </si>
  <si>
    <t>Conso élec 2006 kWh</t>
  </si>
  <si>
    <t>Objectif élec</t>
  </si>
  <si>
    <t>Objectif fuel</t>
  </si>
  <si>
    <t>Prix élec</t>
  </si>
  <si>
    <t>Prix fuel</t>
  </si>
  <si>
    <t>Economie d'énergies en milieu scolaire</t>
  </si>
  <si>
    <t>Location ou achat d'une caméra thermographique pour permettre aux citoyens de visualiser le degré d'isolation de leur maison, le contrôle étant effectué par un agent communal, sur demande.</t>
  </si>
  <si>
    <t>ADU-11</t>
  </si>
  <si>
    <t>Eclairage public</t>
  </si>
  <si>
    <t>Remplacement des luminaires d'éclairage public par des luminaires moins énergivores</t>
  </si>
  <si>
    <t>Objectif: réduction de 50 % de la consommation 2006</t>
  </si>
  <si>
    <t>Estimation de réduction en énergie fossile: moyenne de 1420 l / poêle</t>
  </si>
  <si>
    <t>Prix climatiseur</t>
  </si>
  <si>
    <t>conso clim</t>
  </si>
  <si>
    <t>prix voiture élec</t>
  </si>
  <si>
    <t>prix voiture th</t>
  </si>
  <si>
    <t>frais entretien</t>
  </si>
  <si>
    <t>prix voiture therm</t>
  </si>
  <si>
    <t>nbre de Borne</t>
  </si>
  <si>
    <t>coût unit</t>
  </si>
  <si>
    <t>Prod / kWc</t>
  </si>
  <si>
    <t xml:space="preserve">Prise en compte des installations photovoltaïques privées de puissance &gt; 10 kWc réalisées depuis 2006
</t>
  </si>
  <si>
    <t>Quantité de chaleur: 503709 kWh   -   quantité d'électricité: 168312 kWh</t>
  </si>
  <si>
    <t>Fuel</t>
  </si>
  <si>
    <t>Nom</t>
  </si>
  <si>
    <t>ORES</t>
  </si>
  <si>
    <t>valbiom</t>
  </si>
  <si>
    <t>Valbiom</t>
  </si>
  <si>
    <t>Secteurs</t>
  </si>
  <si>
    <t>Prix mazout</t>
  </si>
  <si>
    <t>SOMME-LEUZE</t>
  </si>
  <si>
    <t>HOTTON</t>
  </si>
  <si>
    <t>NASSOGNE</t>
  </si>
  <si>
    <t>Engagement d'écopasseur - conseiller Energie</t>
  </si>
  <si>
    <t>Ecole</t>
  </si>
  <si>
    <t>kWc</t>
  </si>
  <si>
    <t>production kWh</t>
  </si>
  <si>
    <t xml:space="preserve"> DELISNACK</t>
  </si>
  <si>
    <t>TILMAN</t>
  </si>
  <si>
    <t>Titre</t>
  </si>
  <si>
    <t>conso élec avant</t>
  </si>
  <si>
    <t>conso élec après</t>
  </si>
  <si>
    <t xml:space="preserve">invest </t>
  </si>
  <si>
    <t>TTl Elec</t>
  </si>
  <si>
    <t xml:space="preserve">Invest </t>
  </si>
  <si>
    <t>subsides</t>
  </si>
  <si>
    <t>Différence</t>
  </si>
  <si>
    <t>Travaux économiseurs d'énergie - Chauffage</t>
  </si>
  <si>
    <t>conso chauffage avant</t>
  </si>
  <si>
    <t>conso chauffage  après</t>
  </si>
  <si>
    <t>Actions URE - Electricité</t>
  </si>
  <si>
    <t>TTl Chaleur</t>
  </si>
  <si>
    <t>conso fuel avant</t>
  </si>
  <si>
    <t>prix biomasse</t>
  </si>
  <si>
    <t>Consommations EP</t>
  </si>
  <si>
    <t>PLANCHERS</t>
  </si>
  <si>
    <t>émission Autres</t>
  </si>
  <si>
    <t>Conso moyenne kWh</t>
  </si>
  <si>
    <t xml:space="preserve">Primes </t>
  </si>
  <si>
    <t>CHÂSSIS</t>
  </si>
  <si>
    <t>MURS EXT</t>
  </si>
  <si>
    <t>TOITURES</t>
  </si>
  <si>
    <t>Conso 2006</t>
  </si>
  <si>
    <t>LUMINAIRES</t>
  </si>
  <si>
    <t>nbre d' appareils</t>
  </si>
  <si>
    <t>CHAUDIERES FUEL</t>
  </si>
  <si>
    <t>CHAUDIERES BIOMASSE</t>
  </si>
  <si>
    <t>conso moyenne kWh</t>
  </si>
  <si>
    <t>CV/MWh</t>
  </si>
  <si>
    <t>PhV kWc</t>
  </si>
  <si>
    <t>Bovins</t>
  </si>
  <si>
    <t>Porcins</t>
  </si>
  <si>
    <t>Aviaire</t>
  </si>
  <si>
    <t>Total bovins</t>
  </si>
  <si>
    <t>Total porcins</t>
  </si>
  <si>
    <t>Total aviaire</t>
  </si>
  <si>
    <t>% Mobilisation</t>
  </si>
  <si>
    <t>ha Maïs</t>
  </si>
  <si>
    <t>ha Céréales</t>
  </si>
  <si>
    <t>ha Herbe</t>
  </si>
  <si>
    <t>Total Maïs</t>
  </si>
  <si>
    <t>Total Céréales</t>
  </si>
  <si>
    <t>Total herbe</t>
  </si>
  <si>
    <t>kWh/ha</t>
  </si>
  <si>
    <t>Expl total</t>
  </si>
  <si>
    <t>Expl actif</t>
  </si>
  <si>
    <t>Conso Elec 2006</t>
  </si>
  <si>
    <t>Conso Pétrole 2006</t>
  </si>
  <si>
    <t>POELE BIO APPOINT</t>
  </si>
  <si>
    <t>TURBINES</t>
  </si>
  <si>
    <t>CONDUCTEURS</t>
  </si>
  <si>
    <t>km moyen</t>
  </si>
  <si>
    <t>VEHICULES</t>
  </si>
  <si>
    <t>BORNES</t>
  </si>
  <si>
    <t>VELOS ELEC</t>
  </si>
  <si>
    <t>PAC GEO</t>
  </si>
  <si>
    <t>PAC A-A</t>
  </si>
  <si>
    <t>PAC ECS</t>
  </si>
  <si>
    <t>PAC A-E</t>
  </si>
  <si>
    <t>Hab</t>
  </si>
  <si>
    <t>Electricité</t>
  </si>
  <si>
    <t>Gaz naturel</t>
  </si>
  <si>
    <t>Réductions CO2</t>
  </si>
  <si>
    <t>Economies d'énergie</t>
  </si>
  <si>
    <t>Production ER</t>
  </si>
  <si>
    <t>Economies territoriales réalisées</t>
  </si>
  <si>
    <t>Economies agriculture réalisées</t>
  </si>
  <si>
    <t>Economies  industrie réalisées</t>
  </si>
  <si>
    <t>Economies s logement réalisées</t>
  </si>
  <si>
    <t>Economies  tertiaire réalisées</t>
  </si>
  <si>
    <t>Economies  transport réalisées</t>
  </si>
  <si>
    <t>Economies  communales réalisées</t>
  </si>
  <si>
    <t>Productions territoriales réalisées</t>
  </si>
  <si>
    <t>Productionsagriculture réalisées</t>
  </si>
  <si>
    <t>Productionsindustrie réalisées</t>
  </si>
  <si>
    <t>Productionslogement réalisées</t>
  </si>
  <si>
    <t>Productionstertiaire réalisées</t>
  </si>
  <si>
    <t>Productionstransport réalisées</t>
  </si>
  <si>
    <t>Productionscommunales réalisées</t>
  </si>
  <si>
    <t>Invests Communal</t>
  </si>
  <si>
    <t>Subside Communal</t>
  </si>
  <si>
    <t xml:space="preserve">GFAgriculture </t>
  </si>
  <si>
    <t xml:space="preserve">GFIndustrie </t>
  </si>
  <si>
    <t xml:space="preserve">GFLogement </t>
  </si>
  <si>
    <t xml:space="preserve">GF Tertiaire </t>
  </si>
  <si>
    <t xml:space="preserve">GF Transport </t>
  </si>
  <si>
    <t>DÉJÀ REALISE</t>
  </si>
  <si>
    <t>BUDGET RESTE A FAIRE</t>
  </si>
  <si>
    <t>BUDGET TOTAL</t>
  </si>
  <si>
    <t>Citoyen</t>
  </si>
  <si>
    <t>Néant</t>
  </si>
  <si>
    <t>Facteur émissions</t>
  </si>
  <si>
    <t>ktCO2/GWh</t>
  </si>
  <si>
    <t>logement prod pétro</t>
  </si>
  <si>
    <t>logement autres</t>
  </si>
  <si>
    <t>tertiaire prod pétro</t>
  </si>
  <si>
    <t>tertaire autres</t>
  </si>
  <si>
    <t>Electricité renouvelable</t>
  </si>
  <si>
    <t>transport prod pétro</t>
  </si>
  <si>
    <t>ADA-1</t>
  </si>
  <si>
    <t>ADA-2</t>
  </si>
  <si>
    <t>ADA-3</t>
  </si>
  <si>
    <t>ADA-4</t>
  </si>
  <si>
    <t>ADA-5</t>
  </si>
  <si>
    <t>ADA-6</t>
  </si>
  <si>
    <t>ADA-7</t>
  </si>
  <si>
    <t>ADA-8</t>
  </si>
  <si>
    <t>ADA-9</t>
  </si>
  <si>
    <t>ADA-10</t>
  </si>
  <si>
    <t>ADA-11</t>
  </si>
  <si>
    <t>ADA-12</t>
  </si>
  <si>
    <t>ADA-13</t>
  </si>
  <si>
    <t>ADAPTATION</t>
  </si>
  <si>
    <t>ACTIONS DURES</t>
  </si>
  <si>
    <t>ACTIONS DOUCES</t>
  </si>
  <si>
    <t>Urbanisme</t>
  </si>
  <si>
    <t>Règles urbanistiques en zones inondables</t>
  </si>
  <si>
    <t>Réglements d'urbanisme permettant d'éviter ou de limiter les dégâts occasionnés par des inondations</t>
  </si>
  <si>
    <t>Régles urbanistiques adaptées au réchauffement climatique</t>
  </si>
  <si>
    <t>Ecoulement des eaux, espaces verts, architecture des bâtiments, etc.</t>
  </si>
  <si>
    <t>Eaux pluviales</t>
  </si>
  <si>
    <t>Gestion alternative des eaux pluviales</t>
  </si>
  <si>
    <t>Stockage temporaire, zones semi-perméables, toitures végétales,…</t>
  </si>
  <si>
    <t>Ressources en eau</t>
  </si>
  <si>
    <t>Réduction de la pression sur les ressources en eau</t>
  </si>
  <si>
    <t>Formations, sensibilisation, réglementation et équipements visant à réduire la consommation en eau</t>
  </si>
  <si>
    <t>Bocage</t>
  </si>
  <si>
    <t>Renforcement du maillage vert</t>
  </si>
  <si>
    <t>Ilots de chaleur urbain</t>
  </si>
  <si>
    <t>Réduction des îlots de chaleur en centre urbain</t>
  </si>
  <si>
    <t>Via la création de parcs verts, peinture des façades, etc.</t>
  </si>
  <si>
    <t>Récupération des eaux pluviales</t>
  </si>
  <si>
    <t>Ensemble de mesures visant à récolter et stocker les eaux pluviales</t>
  </si>
  <si>
    <t>Eaux de surface</t>
  </si>
  <si>
    <t>Amélioration de la qualité des eaux de surfaces</t>
  </si>
  <si>
    <t>Lieux publics</t>
  </si>
  <si>
    <t>Protection des lieux publics contre les inondations</t>
  </si>
  <si>
    <t>Bâtiments</t>
  </si>
  <si>
    <t>Protection des bâtiments contre les inondations</t>
  </si>
  <si>
    <t>Gestion de crises</t>
  </si>
  <si>
    <t>Procédures de gestion de crises</t>
  </si>
  <si>
    <t>Elaboration et mise en place de procédures de gestion de crises</t>
  </si>
  <si>
    <t>Inondations</t>
  </si>
  <si>
    <t xml:space="preserve">Dispositifs pour eaux pluviales </t>
  </si>
  <si>
    <t>Réduction des risques d'inondation via la mise en place de dispositifs visant à la collecte et à l'écoulement des eaux pluviales</t>
  </si>
  <si>
    <t>Coulées de boues</t>
  </si>
  <si>
    <t>Limitation des coulées de boues</t>
  </si>
  <si>
    <t>Concertation avec le monde agricole</t>
  </si>
  <si>
    <t>Bâtiments publics</t>
  </si>
  <si>
    <t>Autonomie énergétique des bâtiments publics</t>
  </si>
  <si>
    <t>Ensemble des opérations visant à améliorer de manière significative la performance énergétique et à implanter des productions renouvelables</t>
  </si>
  <si>
    <t>Comité de pilotage</t>
  </si>
  <si>
    <t>Forêts</t>
  </si>
  <si>
    <t>Prévention des incendies de forêt</t>
  </si>
  <si>
    <t>Cultures et élevage</t>
  </si>
  <si>
    <t>Prévention des périodes de sécheresse</t>
  </si>
  <si>
    <t>Mesures visant à stocker l'eau et sa mise à disposition pour l'irrigation des cultures et l'abreuvage du bétail</t>
  </si>
  <si>
    <t>CRITERES</t>
  </si>
  <si>
    <t>Poids</t>
  </si>
  <si>
    <t>coût</t>
  </si>
  <si>
    <t>impact co2</t>
  </si>
  <si>
    <t>Intéressant</t>
  </si>
  <si>
    <t>redistributif - cohésion sociale</t>
  </si>
  <si>
    <t>intérêt moyen</t>
  </si>
  <si>
    <t>nombre de personnes atteintes</t>
  </si>
  <si>
    <t>peu - pas intéressant</t>
  </si>
  <si>
    <t>temps d'exécution</t>
  </si>
  <si>
    <t>porteur de projet identifié ?</t>
  </si>
  <si>
    <t>gain financier - TRS</t>
  </si>
  <si>
    <t>valorisation des ressources locales</t>
  </si>
  <si>
    <t>création d'emplois</t>
  </si>
  <si>
    <t>Evaluation du Total</t>
  </si>
  <si>
    <t>de 21 à 30</t>
  </si>
  <si>
    <t>de 11 à 20</t>
  </si>
  <si>
    <t>de 0 à 11</t>
  </si>
  <si>
    <t>GO</t>
  </si>
  <si>
    <t>optionnel</t>
  </si>
  <si>
    <t>NO GO</t>
  </si>
  <si>
    <t>avis membres</t>
  </si>
  <si>
    <t>Positif</t>
  </si>
  <si>
    <t>Négatif</t>
  </si>
  <si>
    <t>NOMS</t>
  </si>
  <si>
    <t>TABLEAU RESUME</t>
  </si>
  <si>
    <t>MOYENNE</t>
  </si>
  <si>
    <t>à supprimer</t>
  </si>
  <si>
    <t>5 bornes pour voitures et 5 pour vélos</t>
  </si>
  <si>
    <t>24 véhicules électriques</t>
  </si>
  <si>
    <t>ok</t>
  </si>
  <si>
    <t>60 logements</t>
  </si>
  <si>
    <t>100 installations</t>
  </si>
  <si>
    <t>demande à l'ADL</t>
  </si>
  <si>
    <t>en attente infos de l'ADL</t>
  </si>
  <si>
    <t>à supprimer pour l'instant, pas d'idée concrète</t>
  </si>
  <si>
    <t>200 maisons</t>
  </si>
  <si>
    <t>50 chaudières</t>
  </si>
  <si>
    <t>100 kWc</t>
  </si>
  <si>
    <t>A supprimer</t>
  </si>
  <si>
    <t>10 exploitations agricoles -20%</t>
  </si>
  <si>
    <t>lisier ou compost, 5 installations</t>
  </si>
  <si>
    <t>100 personnes</t>
  </si>
  <si>
    <t>500 toitures</t>
  </si>
  <si>
    <t>Via achat groupé, ok pour 60</t>
  </si>
  <si>
    <t>ok (50 kWc Pachis)</t>
  </si>
  <si>
    <t>10 moyennes éoliennes (250 kW) sur des sites industriels, pas sous forme de parc</t>
  </si>
  <si>
    <t>100 solaires thermiques</t>
  </si>
  <si>
    <t>ok, mais achat de la caméra avec plusieurs autres communes (Parc Naturel ? Province ?)</t>
  </si>
  <si>
    <t>Assez ambitieux ? Covoiturage activités extrascolaires ? Etude Provinciale sur le sujet ? Aménagement terrain entre TSLux et nationale en parking ? Covoiturage des étudiants vendredi soir et dimanche soir ?</t>
  </si>
  <si>
    <t>ok mais pas avec vélo électrique donc budget 5000€ pour petite sécurisation, gilets fluo, mise en conformité des vélos</t>
  </si>
  <si>
    <t>-30% de la consommation dans les écoles communales via isolation / régulation / remplacement de chauffage / changement comportement</t>
  </si>
  <si>
    <t>ok 1000 kWc</t>
  </si>
  <si>
    <t>ok mais 10 000 ampoules, circulateur chauffage, voir plus tard peut-être pour d'autres choses (chaudières, isolation)</t>
  </si>
  <si>
    <t>Positif : Investissement de base faible, temps de retour sans subside</t>
  </si>
  <si>
    <t>Lien vers PRIORITES</t>
  </si>
  <si>
    <t>Véhicules propres</t>
  </si>
  <si>
    <t>Voitures hybrides</t>
  </si>
  <si>
    <t>Prise en compte des véhicules hybrides en circulation depuis 2007. hypothèse d'une consommation 50% élec / 50% essence</t>
  </si>
  <si>
    <t>Valeur statistique à partir des données FEBIAC</t>
  </si>
  <si>
    <t>prix L essence</t>
  </si>
  <si>
    <t>prix voiture hybride</t>
  </si>
  <si>
    <t>Population Belge</t>
  </si>
  <si>
    <t>Stat FEBIAC</t>
  </si>
  <si>
    <t>cout essence</t>
  </si>
  <si>
    <t>énergie essence</t>
  </si>
  <si>
    <t>énergie utile essence</t>
  </si>
  <si>
    <t>Formation</t>
  </si>
  <si>
    <t>Thématique</t>
  </si>
  <si>
    <t>Communication</t>
  </si>
  <si>
    <t>Thématiques</t>
  </si>
  <si>
    <t>Mobilité</t>
  </si>
  <si>
    <t>ER Electricité</t>
  </si>
  <si>
    <t>ER Chaleur</t>
  </si>
  <si>
    <t>Agroforesterie/déchets</t>
  </si>
  <si>
    <t>Réf.</t>
  </si>
  <si>
    <t>Objectifs CO2</t>
  </si>
  <si>
    <t xml:space="preserve"> Synthèse CO2</t>
  </si>
  <si>
    <t>CALENDRIER</t>
  </si>
  <si>
    <t>BUDGET ATTE</t>
  </si>
  <si>
    <t>BUDGET ADAPT</t>
  </si>
  <si>
    <t>PRIORITES</t>
  </si>
  <si>
    <t>Formation à l'isolation</t>
  </si>
  <si>
    <t>Mise en place d'un outil de suivi de la consommation énergétique des bâtiments communaux</t>
  </si>
  <si>
    <t>ADU-4</t>
  </si>
  <si>
    <t>Numérotation</t>
  </si>
  <si>
    <t>de</t>
  </si>
  <si>
    <t>à</t>
  </si>
  <si>
    <t>Mobilité douce</t>
  </si>
  <si>
    <r>
      <t>On estime à 10 m³ / ha / an le taux d'accroissement de bois énergie, soit 2 m³ / km de haie mature, équivalent à 200 litres de mazout. Les buts recherchés sont la création de sites propices à la protection et l'épanouissement de la biodiversité ainsi que la production de bois énergie. Les espèces concern&amp;ées sont hêtre, noisettier, aubépine, prunellier, saule, essences indigènes. Dans le bilan CO</t>
    </r>
    <r>
      <rPr>
        <sz val="8"/>
        <color rgb="FF003742"/>
        <rFont val="Calibri"/>
        <family val="2"/>
        <scheme val="minor"/>
      </rPr>
      <t>2</t>
    </r>
    <r>
      <rPr>
        <sz val="12"/>
        <color rgb="FF003742"/>
        <rFont val="Calibri"/>
        <family val="2"/>
        <scheme val="minor"/>
      </rPr>
      <t>, on tient compte du CO</t>
    </r>
    <r>
      <rPr>
        <sz val="8"/>
        <color rgb="FF003742"/>
        <rFont val="Calibri"/>
        <family val="2"/>
        <scheme val="minor"/>
      </rPr>
      <t>2</t>
    </r>
    <r>
      <rPr>
        <sz val="12"/>
        <color rgb="FF003742"/>
        <rFont val="Calibri"/>
        <family val="2"/>
        <scheme val="minor"/>
      </rPr>
      <t xml:space="preserve"> fixé par la haie à maturité, en plus du CO</t>
    </r>
    <r>
      <rPr>
        <sz val="8"/>
        <color rgb="FF003742"/>
        <rFont val="Calibri"/>
        <family val="2"/>
        <scheme val="minor"/>
      </rPr>
      <t>2</t>
    </r>
    <r>
      <rPr>
        <sz val="12"/>
        <color rgb="FF003742"/>
        <rFont val="Calibri"/>
        <family val="2"/>
        <scheme val="minor"/>
      </rPr>
      <t xml:space="preserve"> lié à l'exploitation du bois énergie.</t>
    </r>
  </si>
  <si>
    <t>Gestion communale</t>
  </si>
  <si>
    <t>Thème</t>
  </si>
  <si>
    <t>Régulation de chauffage</t>
  </si>
  <si>
    <t>Objectif: réduction de 25 % de la consommation 2006</t>
  </si>
  <si>
    <t>Aménagement du territoire</t>
  </si>
  <si>
    <t>ADO-20</t>
  </si>
  <si>
    <t>ADO-21</t>
  </si>
  <si>
    <t>ADO-22</t>
  </si>
  <si>
    <t>ADO-23</t>
  </si>
  <si>
    <t>ADO-24</t>
  </si>
  <si>
    <t>ADO-25</t>
  </si>
  <si>
    <t>ADO-26</t>
  </si>
  <si>
    <t>ADO-27</t>
  </si>
  <si>
    <t>ADO-28</t>
  </si>
  <si>
    <t>ADO-40</t>
  </si>
  <si>
    <t>ADO-41</t>
  </si>
  <si>
    <t>ADA-23</t>
  </si>
  <si>
    <t>ADA-22</t>
  </si>
  <si>
    <t>ADA-21</t>
  </si>
  <si>
    <t>ADA-20</t>
  </si>
  <si>
    <t>ADU-140</t>
  </si>
  <si>
    <t>ADU-124</t>
  </si>
  <si>
    <t>ADU-123</t>
  </si>
  <si>
    <t>ADU-122</t>
  </si>
  <si>
    <t>ADU-121</t>
  </si>
  <si>
    <t>ADU-102</t>
  </si>
  <si>
    <t>ADU-101</t>
  </si>
  <si>
    <t>ADU-100</t>
  </si>
  <si>
    <t>ADU-92</t>
  </si>
  <si>
    <t>ADU-91</t>
  </si>
  <si>
    <t>ADU-90</t>
  </si>
  <si>
    <t>ADU-82</t>
  </si>
  <si>
    <t>ADU-81</t>
  </si>
  <si>
    <t>ADU-80</t>
  </si>
  <si>
    <t>ADU-76</t>
  </si>
  <si>
    <t>ADU-75</t>
  </si>
  <si>
    <t>ADU-74</t>
  </si>
  <si>
    <t>ADU-73</t>
  </si>
  <si>
    <t>ADU-72</t>
  </si>
  <si>
    <t>ADU-71</t>
  </si>
  <si>
    <t>ADU-70</t>
  </si>
  <si>
    <t>ADU-56</t>
  </si>
  <si>
    <t>ADU-55</t>
  </si>
  <si>
    <t>ADU-54</t>
  </si>
  <si>
    <t>ADU-53</t>
  </si>
  <si>
    <t>ADU-52</t>
  </si>
  <si>
    <t>ADU-51</t>
  </si>
  <si>
    <t>ADU-50</t>
  </si>
  <si>
    <t>Agroforesterie</t>
  </si>
  <si>
    <t>Ecl Public</t>
  </si>
  <si>
    <t>Gestion</t>
  </si>
  <si>
    <t>Am. Territoire</t>
  </si>
  <si>
    <t xml:space="preserve">Réduction des émissions par € investi (kgCO2éq/€) </t>
  </si>
  <si>
    <t>prix elec 2014</t>
  </si>
  <si>
    <t>prix gn 2014</t>
  </si>
  <si>
    <t>prix pétro 2014</t>
  </si>
  <si>
    <t>prix autres 2014</t>
  </si>
  <si>
    <t>conso elec 2014</t>
  </si>
  <si>
    <t>conso gn 2014</t>
  </si>
  <si>
    <t>conso pétro 2014</t>
  </si>
  <si>
    <t>conso autres 2014</t>
  </si>
  <si>
    <t>APPAREILS</t>
  </si>
  <si>
    <t>Conso Elec 2001</t>
  </si>
  <si>
    <t>Conso Pétrole 2001</t>
  </si>
  <si>
    <t>Km haies</t>
  </si>
  <si>
    <t>INSTALLATIONS</t>
  </si>
  <si>
    <t>gain 2014</t>
  </si>
  <si>
    <t>Vecteur énergétique</t>
  </si>
  <si>
    <t>TTl</t>
  </si>
  <si>
    <t>conso chauf avant</t>
  </si>
  <si>
    <t>conso chauf après</t>
  </si>
  <si>
    <t>prix fuel</t>
  </si>
  <si>
    <t xml:space="preserve">Via un achat groupé, permettre à 200 citoyens l'acquisition d'un vélos à assistance électrique. </t>
  </si>
  <si>
    <t>Mise en place d'installations PhV pour une puissance totale de 200 kWc</t>
  </si>
  <si>
    <t>Mise en œuvre de 200 installations solaires thermiques de 6 m² chacune</t>
  </si>
  <si>
    <t>Synthèse CO2</t>
  </si>
  <si>
    <t>ADU-83</t>
  </si>
  <si>
    <t xml:space="preserve">Grand éolien </t>
  </si>
  <si>
    <t>soutien aux faibles revenus</t>
  </si>
  <si>
    <t>ADU-77</t>
  </si>
  <si>
    <t>Bâtiments communaux et privés</t>
  </si>
  <si>
    <t>Conso plaquettes M³</t>
  </si>
  <si>
    <t>facteur normalisation</t>
  </si>
  <si>
    <t>prix pellets/M³</t>
  </si>
  <si>
    <t>ADU-103</t>
  </si>
  <si>
    <t>Chauffage biomasse</t>
  </si>
  <si>
    <t>Suivi de la consommation énergétique</t>
  </si>
  <si>
    <t>Diffusion d'un document en plusieurs volets, préparé de concert avec le coordinateur territorial, traitant des nombreux enjeux du climat et organisation de soirées à thème</t>
  </si>
  <si>
    <t>Le comité de pilotage est intéressé par de nombreuses thématiques et prévoit la mobilisation d'intervenant(s) externe(s) de façon à intéresser un public le plus large possible. L'octroi d'un cadeau est également envisagé dans ce but.</t>
  </si>
  <si>
    <t>Audits énergétiques</t>
  </si>
  <si>
    <t>Le CP se prononce en faveur d'un système de chantiers participatifs et solidaires, associés à des achats groupés de matériaux d'isolation.</t>
  </si>
  <si>
    <t>Formation Eco Guide - Energie</t>
  </si>
  <si>
    <t>Programme de 8 x 3h de formation.</t>
  </si>
  <si>
    <t>ASBL Bonjour Sourire</t>
  </si>
  <si>
    <t>Cette action pourra s'appuyer sur la remise en valeur d'habitudes du passé qui généraient moins de gaspillage énergétique qu'aujourd'hui.</t>
  </si>
  <si>
    <t>Réduction de 15 % de la consommation en électricité grâce aux actions de 130 ménages</t>
  </si>
  <si>
    <t>Montage d'un évènement festif à l'échelle communale aucours duquel les citoyens s'étant fait remarqué par leurs actions seront mis à l'honneur par le pouvoir en place. Plusieurs possibilités sont envisagées, telles que la cérémonie des vœux, le repas de nouvel an, les réunions de la CLDR,...</t>
  </si>
  <si>
    <t>Grand public</t>
  </si>
  <si>
    <t>Action à mener d'abord par village</t>
  </si>
  <si>
    <t>Incitant à la contribution au PAED</t>
  </si>
  <si>
    <t>Etudier la possibilité de créer un incitant (financier, bien en nature, plaquette de participation …) pour déclencher une participation active de la population, en échange de données énergétiques pour faciliter le comptage des réalisations individuelles.</t>
  </si>
  <si>
    <t>bons d'achat - colibri - panier garni - cadeau émotion</t>
  </si>
  <si>
    <t>ADO-29</t>
  </si>
  <si>
    <t>ADO-30</t>
  </si>
  <si>
    <t>ADO-31</t>
  </si>
  <si>
    <t>ADO-32</t>
  </si>
  <si>
    <t>ADO-33</t>
  </si>
  <si>
    <t>Page WEB</t>
  </si>
  <si>
    <t>A l'occasion de la refonte du site web communal, une page sera dédiée au PAEDC développé par la Commune. Entre autres informations, une liste des primes octroyées par la RW et la Commune</t>
  </si>
  <si>
    <t>Ecoles</t>
  </si>
  <si>
    <t>Outils de sensibilisation</t>
  </si>
  <si>
    <t xml:space="preserve">Sensibilisation en milieu scolaire via la construction d'un ensemble de maquettes démontrant l'usage des Energies Renouvelables. Programme conçu et développé avec les facilitateurs « éducation » wallons (ULG)
</t>
  </si>
  <si>
    <t>Personnel communal</t>
  </si>
  <si>
    <t xml:space="preserve">Actions URE </t>
  </si>
  <si>
    <t>Mise en place d'actions URE dans les différents bâtiments communaux</t>
  </si>
  <si>
    <t>Conso 1 2006</t>
  </si>
  <si>
    <t>Conso 2 2006</t>
  </si>
  <si>
    <t>Conso 3 2006</t>
  </si>
  <si>
    <t>Conso 4 2006</t>
  </si>
  <si>
    <t>Conso 5 2006</t>
  </si>
  <si>
    <t>chauffage</t>
  </si>
  <si>
    <t>électricité</t>
  </si>
  <si>
    <t>Chauffage</t>
  </si>
  <si>
    <t xml:space="preserve">Emission </t>
  </si>
  <si>
    <t>prix</t>
  </si>
  <si>
    <t>15 % éco en chaleur et 15 % éco en électricité</t>
  </si>
  <si>
    <t xml:space="preserve">Groupes pilotes </t>
  </si>
  <si>
    <t>Renov'Energie</t>
  </si>
  <si>
    <t>Secteur touristique</t>
  </si>
  <si>
    <t>Sensibilisation du secteur touristique</t>
  </si>
  <si>
    <t>Le CP envisage la mise en place de critères énergétiques pour promouvoir des acteurs écoresponsables du secteur</t>
  </si>
  <si>
    <t>Réduction de 10 % de la consommation en chauffage grâce aux actions de 250 ménages</t>
  </si>
  <si>
    <t>Objectif de réduction de consommation: 60 %. Consommation 2006</t>
  </si>
  <si>
    <t>RENDEUX</t>
  </si>
  <si>
    <t>Prise en compte de l'évolution de consommation du secteur Logement entre 2006 et 2014</t>
  </si>
  <si>
    <t>Données CWAPE 01/2018</t>
  </si>
  <si>
    <t>Pc</t>
  </si>
  <si>
    <t>ADU-93</t>
  </si>
  <si>
    <t>ADU-94</t>
  </si>
  <si>
    <t>ADU-95</t>
  </si>
  <si>
    <t>Economies d'énergie 2006-2014</t>
  </si>
  <si>
    <t>ADU-57</t>
  </si>
  <si>
    <t>Nouveaux véhicules hybrides hypothèse d'une consommation 50% élec / 50% essence</t>
  </si>
  <si>
    <t>Voitures CNG</t>
  </si>
  <si>
    <t>Voitures H2</t>
  </si>
  <si>
    <t>Nouveaux véhicules H2</t>
  </si>
  <si>
    <t>prix CNG</t>
  </si>
  <si>
    <t>émission GN</t>
  </si>
  <si>
    <t>prix voiture CNG</t>
  </si>
  <si>
    <t>prix voiture classique</t>
  </si>
  <si>
    <t>Remplacement des véhicules à carburants pétroliers par des véhicules à carburant CNG</t>
  </si>
  <si>
    <t>rendement Pile</t>
  </si>
  <si>
    <t>prix H2 kWh</t>
  </si>
  <si>
    <t xml:space="preserve">prix L essence </t>
  </si>
  <si>
    <t>prix voiture h2</t>
  </si>
  <si>
    <t>Station CNG</t>
  </si>
  <si>
    <t>ADU-60</t>
  </si>
  <si>
    <t>ADU-59</t>
  </si>
  <si>
    <t>ADU-58</t>
  </si>
  <si>
    <t>Jérôme MAUS</t>
  </si>
  <si>
    <t>Prix GN kWh</t>
  </si>
  <si>
    <t>coeff GN+</t>
  </si>
  <si>
    <t>Prise en compte de l'évolution de consommation du secteur Transport entre 2006 et 2014</t>
  </si>
  <si>
    <t xml:space="preserve">TTl </t>
  </si>
  <si>
    <t>Prise en compte de l'évolution de consommation du secteur Industrie entre 2006 et 2014</t>
  </si>
  <si>
    <t>Hydroélectricité</t>
  </si>
  <si>
    <t>Restauration de moulins</t>
  </si>
  <si>
    <t>P</t>
  </si>
  <si>
    <t>charge</t>
  </si>
  <si>
    <t>P totale</t>
  </si>
  <si>
    <t>cout/kW</t>
  </si>
  <si>
    <t>MESSANCY</t>
  </si>
  <si>
    <t>PAEDC MESSANCY 2007 - 2030</t>
  </si>
  <si>
    <t>Porteur AC MESSANCY</t>
  </si>
  <si>
    <t>AC MESSANCY</t>
  </si>
  <si>
    <t>Objectif: reboiser 1 hectare - essence(s) à préciser. Volume moyen typique belge: 225 M³/ha (http://www.srfb.be/fr/les_forets_belgique)  On considérera 0,9 T CO2 stocké par M³ (http://woodforum.salusa.indiegroup.be/sites/woodforum.salusa.indiegroup.be/files/deel2/fr/2169%20-%20Les%20produits%20%E0%20base%20de%20bois%20dans%20la%20lutte%20contre%20le%20changement%20climatique.AC MESSANCY)</t>
  </si>
  <si>
    <t xml:space="preserve">Fiche technique: 
http://www.fw4sea.com/produits-fr/fiches-techniques/80-fiches-techniques-fr/88-f180-50 
Vitesse moyenne du vent = 5 m/s (hypothèse avantageuse)
Conseils de l’APERe :
http://www.apere.org/adt/sites/default/files/files/doc/Analyses/20130423_Analyse_Eolien_EtatDesLieux.AC MESSANCY
Aides à l’investissement :
http://forms6.wallonie.be/formulaires/NoticeAideInvestissement.AC MESSANCY
</t>
  </si>
  <si>
    <t>http://www.ef4.be/documents/eloral_images/qualiwatt-les-derniers-developpements-reglementaires-et-les-details-pratiques-de-la-mise-en-oeuvre-du-systeme-de-soutien.AC MESSANCY</t>
  </si>
  <si>
    <t>Kinh Trang DOTANSI</t>
  </si>
  <si>
    <t>Cogénération</t>
  </si>
  <si>
    <t>Cogénération CORA</t>
  </si>
  <si>
    <t>Installation de cogénération GN</t>
  </si>
  <si>
    <t>P kwé</t>
  </si>
  <si>
    <t>Puissance</t>
  </si>
  <si>
    <t>Production h</t>
  </si>
  <si>
    <t>Production chaleur</t>
  </si>
  <si>
    <t>CORA</t>
  </si>
  <si>
    <t>Prix gn</t>
  </si>
  <si>
    <t>Les services communaux de MESSANCY vont procéder à la modernisation des régulations de chauffage</t>
  </si>
  <si>
    <t>Parc éolien de Hondelange</t>
  </si>
  <si>
    <t>Participation communale et citoyenne au projet éolien de Hondelange</t>
  </si>
  <si>
    <t>ENECO</t>
  </si>
  <si>
    <t>Population MESSANCY</t>
  </si>
  <si>
    <t>En introduisant la formation pratique, la Commune de MESSANCY va encourager les travaux  d'isolation dans les logements privés: isolation de 300  toitures</t>
  </si>
  <si>
    <t>En introduisant la formation pratique, la Commune de MESSANCY va encourager les travaux  d'isolation dans les logements privés</t>
  </si>
  <si>
    <t>Sur base des données DGO4 - 2017: MESSANCY_Bilan_Energie_1990-2014"</t>
  </si>
  <si>
    <t xml:space="preserve"> La Commune de MESSANCY va organiser la formation de 12 éco-guides, avec pour mission l'optimisation de la gestion énergétique des bâtiments communaux et des écoles.</t>
  </si>
  <si>
    <t>La Commune de MESSANCY va inciter les citoyens à se regrouper en groupes pilotes par quartier pour lancer ponctuellement des dynamiques visant les thématiques énergie et environnement</t>
  </si>
  <si>
    <t>Mise en œuvre d'un programme en milieu scolaire (écoles communales de MESSANCY) permettant aux enfants d'identifier puis de remédier à des situations de gaspillage énergétique. Cette opération sera coachée par l'asbl Scienceinfuse</t>
  </si>
  <si>
    <t>Communication sur les ambitions et les objectifs de la Commune de MESSANCY dans la Convention des Maires</t>
  </si>
  <si>
    <t>QUAND ?</t>
  </si>
  <si>
    <t>QUI ?</t>
  </si>
  <si>
    <t>QUOI ?</t>
  </si>
  <si>
    <t>COMMENT ?</t>
  </si>
  <si>
    <t>web</t>
  </si>
  <si>
    <t>l'info</t>
  </si>
  <si>
    <t>bc papier pefc</t>
  </si>
  <si>
    <t>matériel électrique</t>
  </si>
  <si>
    <t>pénuries d'eau</t>
  </si>
  <si>
    <t>discussions ouvertes</t>
  </si>
  <si>
    <t>chargée com + PW</t>
  </si>
  <si>
    <t xml:space="preserve">Evènement </t>
  </si>
  <si>
    <t>visites exemplaires citoyens (id Habay)</t>
  </si>
  <si>
    <t>Sensibilisation URE - chaleur</t>
  </si>
  <si>
    <t>Sensibilisation URE - électricité</t>
  </si>
  <si>
    <t>via Web</t>
  </si>
  <si>
    <t>tte boite</t>
  </si>
  <si>
    <t>Gaume énergie - test achat</t>
  </si>
  <si>
    <t>id martelange</t>
  </si>
  <si>
    <t>cible  -&gt; cités</t>
  </si>
  <si>
    <t>gite turpange</t>
  </si>
  <si>
    <t>plaquette ensemble des opportunités</t>
  </si>
  <si>
    <t>ADO-34</t>
  </si>
  <si>
    <t>Publics précarisés</t>
  </si>
  <si>
    <t>Moyens d'actions</t>
  </si>
  <si>
    <t>ADO-35</t>
  </si>
  <si>
    <t>Réflexions sur les moyens à mettre en œuvre pour permettre aux publics précarisés du territoire à s'impliquer de manière effective dans le plan d'actions.</t>
  </si>
  <si>
    <t>Panneaux spécifiques</t>
  </si>
  <si>
    <t>Ecopaturage</t>
  </si>
  <si>
    <t>Annulation des tontes de prairies par voie mécanique en introduisant des animaux herbivores (chèvre, mouton)</t>
  </si>
  <si>
    <t>Nbre ménages</t>
  </si>
  <si>
    <t>Visites de terrain</t>
  </si>
  <si>
    <t xml:space="preserve">Mise en place d'un programme de visites de terrain exemplaires: particuliers, entreprises, etc. </t>
  </si>
  <si>
    <t>Smart city</t>
  </si>
  <si>
    <t>Développement du concept smart city sur le territoire de la Commune de Messancy</t>
  </si>
  <si>
    <t>Bâtiments tertiaires</t>
  </si>
  <si>
    <t>Bâtiments agricoles</t>
  </si>
  <si>
    <t>Logement privés</t>
  </si>
  <si>
    <t>citoyen</t>
  </si>
  <si>
    <t>En introduisant la formation pratique, la Commune de MESSANCY va encourager les travaux  d'isolation dans les logements privés: isolation de xx murs extérieur</t>
  </si>
  <si>
    <t>Chaudière biomasse</t>
  </si>
  <si>
    <t xml:space="preserve"> Chauffage d'appoint biomasse</t>
  </si>
  <si>
    <t>Installation  de 5 chauffages par pompe à chaleur sur puits géothermiques</t>
  </si>
  <si>
    <t>50 nouvelles /an</t>
  </si>
  <si>
    <t>Installation  de 10 chauffages par pompe à chaleur AIR-AIR</t>
  </si>
  <si>
    <t>100 installations  de production d'Eau Chaude Sanitaire par pompe à chaleur Air-Eau</t>
  </si>
  <si>
    <t>complexe sportif</t>
  </si>
  <si>
    <t>conso l/h</t>
  </si>
  <si>
    <t>conso l/ha</t>
  </si>
  <si>
    <t>tontes / an</t>
  </si>
  <si>
    <t>Prix essence</t>
  </si>
  <si>
    <t>ADO-36</t>
  </si>
  <si>
    <t>Prêt de compteurs</t>
  </si>
  <si>
    <t>En association avec ADU-12, proposer des compteurs d'énergie en prêt, pour permettre aux citoyens de trouver plus facilement les équipements les plus énergivores et ainsi, anticiper leur remplacement</t>
  </si>
  <si>
    <t>Bien que la thématique ne soit pas en lien direct avec l'énergie, cet objectif contribue au changement des mentalités, indispensable pour la réussite de la transition énergétique.</t>
  </si>
  <si>
    <t xml:space="preserve">prévoir l'organisation d'ateliers, soirées, </t>
  </si>
  <si>
    <t>zerodechet@espace-environnement.be.</t>
  </si>
  <si>
    <t>ADO-39</t>
  </si>
  <si>
    <t>Magolux</t>
  </si>
  <si>
    <t>Prise en compte des actions prises au sein de l'entreprise Magolux pour réduire la facture énergétique</t>
  </si>
  <si>
    <t>Ampacet</t>
  </si>
  <si>
    <t>Cora</t>
  </si>
  <si>
    <t>Chaudières au gaz naturel</t>
  </si>
  <si>
    <t>Estimation de gain en rendement: 20 %</t>
  </si>
  <si>
    <t>Coef pétrole</t>
  </si>
  <si>
    <t>équ L Mazout</t>
  </si>
  <si>
    <t>Nouvelle conso</t>
  </si>
  <si>
    <t>équ L Propane</t>
  </si>
  <si>
    <t>Prix Propane</t>
  </si>
  <si>
    <t>Coef propane</t>
  </si>
  <si>
    <t>CHAUDIERES GN</t>
  </si>
  <si>
    <t xml:space="preserve">CHAUDIERES propane </t>
  </si>
  <si>
    <t>prix m³ GN</t>
  </si>
  <si>
    <t>ADU-62</t>
  </si>
  <si>
    <t>ADU-63</t>
  </si>
  <si>
    <t>ADU-64</t>
  </si>
  <si>
    <t>ADU-65</t>
  </si>
  <si>
    <t>nbre véhicules</t>
  </si>
  <si>
    <t>Véhicules communaux</t>
  </si>
  <si>
    <t>Véhicules CNG</t>
  </si>
  <si>
    <t>% écon</t>
  </si>
  <si>
    <t>Remplacement progressif du parc automobile communal par des véhicules ayant un plus faible taux de rejet CO2</t>
  </si>
  <si>
    <t>mobilité douce</t>
  </si>
  <si>
    <t>Voies lentes</t>
  </si>
  <si>
    <t>A voir conjointemen avec Arlon et Aubange</t>
  </si>
  <si>
    <t>Véhicules de service électriques</t>
  </si>
  <si>
    <t>nbre km</t>
  </si>
  <si>
    <t>Les services communaux de MESSANCY vont procéder à l'isolation des bâtiments les plus énergivores: Villa Kleinge / Ecole de Turpange / Maison des Services Travaux</t>
  </si>
  <si>
    <t>Villa Kleinge</t>
  </si>
  <si>
    <t>Ec. Turpange</t>
  </si>
  <si>
    <t>S. Travaux</t>
  </si>
  <si>
    <t>ec. Turpange</t>
  </si>
  <si>
    <t>Remplacement des chaudières de l'école de Hondelange (fuel) et de la Villa Kleinge (GN)</t>
  </si>
  <si>
    <t>Via l'introduction du plan Renov'Energie, la Commune de MESSANCY vise la rénovation complète de 150 logements par an sur 3 ans</t>
  </si>
  <si>
    <t>CAPRU</t>
  </si>
  <si>
    <t>Mise en place d'installations PhV pour une puissance totale de 20 kWc</t>
  </si>
  <si>
    <t>Mise en place d'installations PhV pour une puissance totale de 100 kWc</t>
  </si>
  <si>
    <t xml:space="preserve">Micro biogaz </t>
  </si>
  <si>
    <t>Valorisation de terres agricole par plantation d'espèces à croissance rapides telle que le miscanthus</t>
  </si>
  <si>
    <t>Culture de miscanthus</t>
  </si>
  <si>
    <t xml:space="preserve">Lien avec </t>
  </si>
  <si>
    <t>Objectif: replanter 5 km de haies en zone agricole</t>
  </si>
  <si>
    <t>Construction d'une voie lente reliant plusieurs villages, passant par l'Hypermarché CORA</t>
  </si>
  <si>
    <t>vélos/j</t>
  </si>
  <si>
    <t>j/an</t>
  </si>
  <si>
    <t>Moulin de Habergy</t>
  </si>
  <si>
    <t>Mise en place d'installations PhV pour une puissance totale de 80 kWc</t>
  </si>
  <si>
    <t>Cette action reprend déjà les installations de 2018-2019 sur l'école de Hondelange (8 kWc), le Dépôt (10 kWc), les bureaux  du Dépôt (3 kWc), le Complexe sportif (10 kWc), l'école de Sélange (7 kWc)</t>
  </si>
  <si>
    <t>PhV &lt; 10 kWc</t>
  </si>
  <si>
    <t>Mise en œuvre de 400 installations PhV privées de 6,6 kWc supplémentaires</t>
  </si>
  <si>
    <t>Bâtiments industriels</t>
  </si>
  <si>
    <t>Phv &gt; 10 kWc</t>
  </si>
  <si>
    <t>PhV &lt;10 kWc</t>
  </si>
  <si>
    <t>Phv &lt;  10 kWc</t>
  </si>
  <si>
    <t xml:space="preserve">Le comité de pilotage de la Commune de MESSANCY est composé de mandataires et de personnel administratif. Une ouverture est prévue aux citoyens membres de la cellule énergie de la CLDR pour encore enrichir le groupe existant.
</t>
  </si>
  <si>
    <t>Ecole de Hondelange</t>
  </si>
  <si>
    <t>Ecole de Longeau</t>
  </si>
  <si>
    <t>Ecole de Sélange</t>
  </si>
  <si>
    <t>Ecole de Turpange</t>
  </si>
  <si>
    <t xml:space="preserve">Ecole de Wolkrange-maternelle </t>
  </si>
  <si>
    <t>Ecole de Wolkrange-préfabriqué</t>
  </si>
  <si>
    <t xml:space="preserve">Ecole de Wolkrange-primaire </t>
  </si>
  <si>
    <t>Travaux d'isolation - PLANCHERS</t>
  </si>
  <si>
    <t>Travaux d'isolation -TOITURES</t>
  </si>
  <si>
    <t>Travaux d'isolation _ MURS EXTERIEURS</t>
  </si>
  <si>
    <t>Travaux d'isolation  - VITRAGES</t>
  </si>
  <si>
    <t>Luminaires économiques</t>
  </si>
  <si>
    <t>Electroménager ECO</t>
  </si>
  <si>
    <t>Plan EPURE</t>
  </si>
  <si>
    <t xml:space="preserve"> PhV &lt; 10 kWc - existant</t>
  </si>
  <si>
    <t>PhV &gt; 10 kWc - existant</t>
  </si>
  <si>
    <t xml:space="preserve"> Centrale biogaz  - bétail</t>
  </si>
  <si>
    <t>Centrale biogaz - cultures dédiées</t>
  </si>
  <si>
    <t>Exploitations agricoles</t>
  </si>
  <si>
    <t>1/3 temps jusqu'en 2017 / plein temps à partir de 2018</t>
  </si>
  <si>
    <t xml:space="preserve">Sensibilisation du secteur touristique à la réalisation d'économies d'énergie. Conscientiser sur l’impact du tourisme sur l’environnement 
Action d’information et de sensibilisation
Visite du territoire : mini-réseau de chaleur, energie hydro à 
éco-gestes pour les touristes, Er pour les gîtes, produits locaux, …
</t>
  </si>
  <si>
    <t xml:space="preserve">Marc Knaepen - Maison du Tourisme - </t>
  </si>
  <si>
    <t>Voir pour mutualiser cette action avec Arlon et Aubange</t>
  </si>
  <si>
    <t>Objectif 0 déchet-0 pesticide</t>
  </si>
  <si>
    <t>Remplacement de 20 chaudières fuel privées par des chaudières à pellets / plaquettes / bûches</t>
  </si>
  <si>
    <t>Remplacement de 200 chaudières fuel privées par des chaudières à condensation ou HR</t>
  </si>
  <si>
    <t>En introduisant la formation pratique, la Commune de MESSANCY va encourager les travaux  d'isolation dans les logements privés: isolation de 100  planchers</t>
  </si>
  <si>
    <t>Installation  de 500 poêles à pellets / plaquettes / bûches</t>
  </si>
  <si>
    <t>Installation  de 50 chauffages par pompe à chaleur Air-Eau</t>
  </si>
  <si>
    <t>Conso GN</t>
  </si>
  <si>
    <t>énergie GN</t>
  </si>
  <si>
    <t>A organiser conjointement avec Aubange et Arlon</t>
  </si>
  <si>
    <t>Prise en compte des actions prise par Cora Messancy pour réduire la facture énergétique: Phv (ADU-71), cogénération ADU-94, éclairage LED, …</t>
  </si>
  <si>
    <t>Remplacement de 100 chaudières fuel  par des chaudières propane en mode instantané</t>
  </si>
  <si>
    <t>Propane</t>
  </si>
  <si>
    <t>émission propane</t>
  </si>
  <si>
    <t>ecole de Hondelange</t>
  </si>
  <si>
    <t>Economie espérée de 50%</t>
  </si>
  <si>
    <t>Formation de 150 conducteurs citoyens - personnel communal</t>
  </si>
  <si>
    <t>Voitures électriques</t>
  </si>
  <si>
    <t>Remplacement de voitures à moteur thermique par des voitures 100 % électrique</t>
  </si>
  <si>
    <t>Prise en compte des navetteurs frontaliers utilisant le bus Sales-Lentz pour se rendre à leur travail au Grand-Duché de Luxembourg</t>
  </si>
  <si>
    <t>Travailleurs frontaliers</t>
  </si>
  <si>
    <t>Service de bus transfrontalier</t>
  </si>
  <si>
    <t>Exploitation agricole</t>
  </si>
  <si>
    <t>1 éolienne à axe vertical</t>
  </si>
  <si>
    <t>Diagnostics énergétiques</t>
  </si>
  <si>
    <t xml:space="preserve">Réduction des consommations </t>
  </si>
  <si>
    <t>Economies d'énergie - Electricité</t>
  </si>
  <si>
    <t>Economies d'énergie - Chauffage</t>
  </si>
  <si>
    <t>Villa Clainge (clubs et associations, accueil extra-scolaire)</t>
  </si>
  <si>
    <t>Bureaux Muller Tesch (service Travaux)</t>
  </si>
  <si>
    <t>Ecole communale de Sélange</t>
  </si>
  <si>
    <t>Ecole communale de Hondelange</t>
  </si>
  <si>
    <t>Ecole communale de Wolkrange</t>
  </si>
  <si>
    <t>Ecole communale de Turpange</t>
  </si>
  <si>
    <t>Hôtel de ville</t>
  </si>
  <si>
    <t>Hôtel de police </t>
  </si>
  <si>
    <t>Dépôt Muller Tesch (service Travaux)</t>
  </si>
  <si>
    <t>Bâtiment Krebling (service Travaux – annexe au dépôt avec logement)</t>
  </si>
  <si>
    <t>Crèche Lac’Aline (bâtiment existant, hors extension en cours)</t>
  </si>
  <si>
    <t>Associations de Wolkrange (2 bâtiments)</t>
  </si>
  <si>
    <t>Complexe sportif avec extension – complément électricité et éclairage</t>
  </si>
  <si>
    <t>déjà réalisé</t>
  </si>
  <si>
    <t xml:space="preserve">RECAPITULATIF DOSSIERS UREBA </t>
  </si>
  <si>
    <t>* Pas de suivi de consommations pour les audits</t>
  </si>
  <si>
    <t>Déclaration annuelle</t>
  </si>
  <si>
    <t>Autorisation de démarrer les travaux</t>
  </si>
  <si>
    <t>Octroi des subsides</t>
  </si>
  <si>
    <t>Début déclarations</t>
  </si>
  <si>
    <t>Date courrier</t>
  </si>
  <si>
    <t>Référence UREBA</t>
  </si>
  <si>
    <t>Bâtiment</t>
  </si>
  <si>
    <t>Adresse</t>
  </si>
  <si>
    <t>CP</t>
  </si>
  <si>
    <t>Localité</t>
  </si>
  <si>
    <t xml:space="preserve">Travaux </t>
  </si>
  <si>
    <t>Economie énergie kWh/an</t>
  </si>
  <si>
    <t>Diminution CO2 T/an</t>
  </si>
  <si>
    <t>Accusé réception UREBA</t>
  </si>
  <si>
    <t>Montant travaux
TVAC</t>
  </si>
  <si>
    <t>Subsides calculés</t>
  </si>
  <si>
    <t>Montant éligible</t>
  </si>
  <si>
    <t>Subsides accordés</t>
  </si>
  <si>
    <t>Taux de subsides</t>
  </si>
  <si>
    <t>Paiement/facture</t>
  </si>
  <si>
    <t>N° Engagement</t>
  </si>
  <si>
    <t>Date_notification</t>
  </si>
  <si>
    <t xml:space="preserve">Date de réception </t>
  </si>
  <si>
    <t>COMM0165/003/b</t>
  </si>
  <si>
    <t>Complexe sportif</t>
  </si>
  <si>
    <t>Rue d'Arlon, 50</t>
  </si>
  <si>
    <t>Messancy</t>
  </si>
  <si>
    <t>Audit énergétique *</t>
  </si>
  <si>
    <t>2012</t>
  </si>
  <si>
    <t>Pas de déclaration</t>
  </si>
  <si>
    <t>COMM0165/004/a</t>
  </si>
  <si>
    <t>Bureaux Muller Tesch</t>
  </si>
  <si>
    <t>Rue Muller Tesch, 38</t>
  </si>
  <si>
    <t>18/16823</t>
  </si>
  <si>
    <t>COMM0165/005/a</t>
  </si>
  <si>
    <t>Villa Clainge</t>
  </si>
  <si>
    <t>Rue de la Clinique, 2</t>
  </si>
  <si>
    <t>COMM0165/006/a</t>
  </si>
  <si>
    <t>Dépôt Muller Tesch</t>
  </si>
  <si>
    <t>18/20076</t>
  </si>
  <si>
    <t>COMM0165/007/a</t>
  </si>
  <si>
    <t>Crèche Lac'Aline</t>
  </si>
  <si>
    <t>Rue d'Arlon, 52</t>
  </si>
  <si>
    <t>COMM0165/008/a</t>
  </si>
  <si>
    <t>Bâtiment Krebling</t>
  </si>
  <si>
    <t>Rue Krebling, 41</t>
  </si>
  <si>
    <t>COMM0165/009/a</t>
  </si>
  <si>
    <t>Associations de Wolkrange</t>
  </si>
  <si>
    <t>Rue des Tilleuls, 18</t>
  </si>
  <si>
    <t>Wolkrange</t>
  </si>
  <si>
    <t>COMM0165/010/a</t>
  </si>
  <si>
    <t>Ecole de Wolkrange</t>
  </si>
  <si>
    <t>Rue Albert 1er, 153</t>
  </si>
  <si>
    <t>COMM0165/011/a</t>
  </si>
  <si>
    <t>Rue des Blés d'Or, 23</t>
  </si>
  <si>
    <t>COMM0165/012/a</t>
  </si>
  <si>
    <t>Rue des Ecoles, 16</t>
  </si>
  <si>
    <t>Sélange</t>
  </si>
  <si>
    <t>COMM0165/013/a</t>
  </si>
  <si>
    <t>Rue de la Halte, 27</t>
  </si>
  <si>
    <t>Turpange</t>
  </si>
  <si>
    <t>Complexe sportif et extension</t>
  </si>
  <si>
    <t>Audit énergétique (électrique)*</t>
  </si>
  <si>
    <t>COMM0165/014/a</t>
  </si>
  <si>
    <t>Hôtel de Police</t>
  </si>
  <si>
    <t>Rue du Castel, 10</t>
  </si>
  <si>
    <t>COMM0165/002/b</t>
  </si>
  <si>
    <t>Hôtel de Ville</t>
  </si>
  <si>
    <t>Grand-Rue, 100</t>
  </si>
  <si>
    <t>COMM0165/001/a</t>
  </si>
  <si>
    <t>Rue d'Athus, 1</t>
  </si>
  <si>
    <t>Longeau</t>
  </si>
  <si>
    <t>Remplacement de l'installation de chauffage</t>
  </si>
  <si>
    <t>2008-2016</t>
  </si>
  <si>
    <t>2017</t>
  </si>
  <si>
    <t>COMM0165/001/b</t>
  </si>
  <si>
    <t>Travaux d'amélioration énergétique - éclairage</t>
  </si>
  <si>
    <t>REFUS</t>
  </si>
  <si>
    <t>Non réalisé</t>
  </si>
  <si>
    <t>COMM0165/001/c</t>
  </si>
  <si>
    <t>Travaux d'isolation et remplacement des menuiseries extérieures</t>
  </si>
  <si>
    <t>COMM0165/001/d</t>
  </si>
  <si>
    <t>Travaux d'amélioration énergétique - VMC</t>
  </si>
  <si>
    <t>COMM0165/002/a</t>
  </si>
  <si>
    <t>Rue Grande, 100</t>
  </si>
  <si>
    <t>Isolation des murs extérieurs, de toitures plates, de versants de toiture, remplacement de châssis et vitrages, de chaudière gaz à condensation et placement d'une ventilation double-flux</t>
  </si>
  <si>
    <t>12/47887/LEBA</t>
  </si>
  <si>
    <t>COMM0165/005/b</t>
  </si>
  <si>
    <t>Isolation du plancher des combles</t>
  </si>
  <si>
    <t>COMM0165/015/a</t>
  </si>
  <si>
    <t>Logements et salle Habergy</t>
  </si>
  <si>
    <t>Rue Saint-Roch, 10-12</t>
  </si>
  <si>
    <t>Habergy</t>
  </si>
  <si>
    <t>Amélioration du système de chauffage, remplacement des menuiseries extérieures et isolation des parois du volume protégé</t>
  </si>
  <si>
    <t>TRAVAUX EN COURS</t>
  </si>
  <si>
    <t>Détail - Habergy</t>
  </si>
  <si>
    <t>Amélioration chauffage</t>
  </si>
  <si>
    <t>Isolation des murs extérieurs</t>
  </si>
  <si>
    <t>Isolation de la toiture</t>
  </si>
  <si>
    <t>Isolation des dalles</t>
  </si>
  <si>
    <t>remplacement de châssis</t>
  </si>
  <si>
    <t>EN COURS</t>
  </si>
  <si>
    <t>Optimalisation du système de chauffage</t>
  </si>
  <si>
    <t>ATTRIBUE 2018</t>
  </si>
  <si>
    <t>Remplacement des menuiseries extérieures</t>
  </si>
  <si>
    <t>A FAIRE</t>
  </si>
  <si>
    <t>AUTEUR DE PROJET</t>
  </si>
  <si>
    <t>Remplacement de la chaudière</t>
  </si>
  <si>
    <t>Optimalisation du système d'éclairage</t>
  </si>
  <si>
    <t>PROJET</t>
  </si>
  <si>
    <t>Rénovation complète (à voir)</t>
  </si>
  <si>
    <t>CORA 1</t>
  </si>
  <si>
    <t>CORA 2</t>
  </si>
  <si>
    <t>réalisés</t>
  </si>
  <si>
    <t>Installations photovoltaïques installées en 2018</t>
  </si>
  <si>
    <r>
      <t>1.</t>
    </r>
    <r>
      <rPr>
        <sz val="7"/>
        <color theme="1"/>
        <rFont val="Times New Roman"/>
        <family val="1"/>
      </rPr>
      <t xml:space="preserve">       </t>
    </r>
    <r>
      <rPr>
        <sz val="11"/>
        <color theme="1"/>
        <rFont val="Calibri"/>
        <family val="2"/>
        <scheme val="minor"/>
      </rPr>
      <t>Bureaux du service Travaux = 3 kWc</t>
    </r>
  </si>
  <si>
    <r>
      <t>2.</t>
    </r>
    <r>
      <rPr>
        <sz val="7"/>
        <color theme="1"/>
        <rFont val="Times New Roman"/>
        <family val="1"/>
      </rPr>
      <t xml:space="preserve">       </t>
    </r>
    <r>
      <rPr>
        <sz val="11"/>
        <color theme="1"/>
        <rFont val="Calibri"/>
        <family val="2"/>
        <scheme val="minor"/>
      </rPr>
      <t>Dépôt du service Travaux = 10,2 kWc</t>
    </r>
  </si>
  <si>
    <r>
      <t>3.</t>
    </r>
    <r>
      <rPr>
        <sz val="7"/>
        <color theme="1"/>
        <rFont val="Times New Roman"/>
        <family val="1"/>
      </rPr>
      <t xml:space="preserve">       </t>
    </r>
    <r>
      <rPr>
        <sz val="11"/>
        <color theme="1"/>
        <rFont val="Calibri"/>
        <family val="2"/>
        <scheme val="minor"/>
      </rPr>
      <t>Ecole de Wolkrange  = 10,2 kWc</t>
    </r>
  </si>
  <si>
    <r>
      <t>4.</t>
    </r>
    <r>
      <rPr>
        <sz val="7"/>
        <color theme="1"/>
        <rFont val="Times New Roman"/>
        <family val="1"/>
      </rPr>
      <t xml:space="preserve">       </t>
    </r>
    <r>
      <rPr>
        <sz val="11"/>
        <color theme="1"/>
        <rFont val="Calibri"/>
        <family val="2"/>
        <scheme val="minor"/>
      </rPr>
      <t>Ecole de Hondelange  = 8,1 kWc</t>
    </r>
  </si>
  <si>
    <t>Installations potentielles (suite aux audits)</t>
  </si>
  <si>
    <r>
      <t>5.</t>
    </r>
    <r>
      <rPr>
        <sz val="7"/>
        <color theme="1"/>
        <rFont val="Times New Roman"/>
        <family val="1"/>
      </rPr>
      <t xml:space="preserve">       </t>
    </r>
    <r>
      <rPr>
        <sz val="11"/>
        <color theme="1"/>
        <rFont val="Calibri"/>
        <family val="2"/>
        <scheme val="minor"/>
      </rPr>
      <t>Villa Clainge  = 5,4 kWc</t>
    </r>
  </si>
  <si>
    <r>
      <t>6.</t>
    </r>
    <r>
      <rPr>
        <sz val="7"/>
        <color theme="1"/>
        <rFont val="Times New Roman"/>
        <family val="1"/>
      </rPr>
      <t xml:space="preserve">       </t>
    </r>
    <r>
      <rPr>
        <sz val="11"/>
        <color theme="1"/>
        <rFont val="Calibri"/>
        <family val="2"/>
        <scheme val="minor"/>
      </rPr>
      <t>Ecole de Sélange  = 8,5 kWc</t>
    </r>
  </si>
  <si>
    <r>
      <t>7.</t>
    </r>
    <r>
      <rPr>
        <sz val="7"/>
        <color theme="1"/>
        <rFont val="Times New Roman"/>
        <family val="1"/>
      </rPr>
      <t xml:space="preserve">       </t>
    </r>
    <r>
      <rPr>
        <sz val="11"/>
        <color theme="1"/>
        <rFont val="Calibri"/>
        <family val="2"/>
        <scheme val="minor"/>
      </rPr>
      <t>Complexe sportif - Placer une installation photovoltaïque de 10 kWc - panneaux amorphes (courbes)</t>
    </r>
  </si>
  <si>
    <r>
      <t>8.</t>
    </r>
    <r>
      <rPr>
        <sz val="7"/>
        <color theme="1"/>
        <rFont val="Times New Roman"/>
        <family val="1"/>
      </rPr>
      <t xml:space="preserve">       </t>
    </r>
    <r>
      <rPr>
        <sz val="11"/>
        <color theme="1"/>
        <rFont val="Calibri"/>
        <family val="2"/>
        <scheme val="minor"/>
      </rPr>
      <t>Associations Wolkrange - Installation de 8 m² - 1,3 kWc</t>
    </r>
  </si>
  <si>
    <t>Installations existantes</t>
  </si>
  <si>
    <t>Bureaux Service Travaux</t>
  </si>
  <si>
    <t>tennis de table Sélange</t>
  </si>
  <si>
    <t>Subs</t>
  </si>
  <si>
    <t>Foot Messancy</t>
  </si>
  <si>
    <t>concerne le hall sportif, le stade de football de Messancy et l'école de Turpange</t>
  </si>
  <si>
    <t xml:space="preserve">Isolation </t>
  </si>
  <si>
    <t>HdV</t>
  </si>
  <si>
    <t>UREBA COMM0165/003/a - 004/a - 005/a</t>
  </si>
  <si>
    <t>MUNICIPALITY</t>
  </si>
  <si>
    <t>TERTIAIRE</t>
  </si>
  <si>
    <t>RESIDENTIAL</t>
  </si>
  <si>
    <t>PUBLIC LIGHTING</t>
  </si>
  <si>
    <t>INDUSTRIE</t>
  </si>
  <si>
    <t>TRANSPORT</t>
  </si>
  <si>
    <t>PROD ELEC</t>
  </si>
  <si>
    <t>PROD CHALEUR</t>
  </si>
  <si>
    <t>AUTRES</t>
  </si>
  <si>
    <t>invest</t>
  </si>
  <si>
    <t>non invest</t>
  </si>
  <si>
    <t>autres</t>
  </si>
  <si>
    <t>ttl</t>
  </si>
  <si>
    <t>population 2030</t>
  </si>
  <si>
    <t>Evolution 2006-2030</t>
  </si>
  <si>
    <t>Chaudières au propane</t>
  </si>
  <si>
    <t xml:space="preserve">Logements </t>
  </si>
  <si>
    <t>CHAUDIERES PROPANE</t>
  </si>
  <si>
    <t>Remplacement de 100 chaudières fuel privées par des chaudières gaz naturel à condensation ou HR à mode instantané</t>
  </si>
  <si>
    <t>economie: 20 %</t>
  </si>
  <si>
    <t>Informations aux agriculteurs</t>
  </si>
  <si>
    <t>Outil Province de Luxembourg</t>
  </si>
  <si>
    <t>Ces audits comprennent en particulier un audit des installations de chauffage et des dispositifs de régulation. Au 1/10/2019, 13 bâtiments communaux ont déjà fait l'objet d'un audit.</t>
  </si>
  <si>
    <t>Employés communaux</t>
  </si>
  <si>
    <t>Part biogaz IDELUX</t>
  </si>
  <si>
    <t xml:space="preserve">Déchets </t>
  </si>
  <si>
    <t>AIVE</t>
  </si>
  <si>
    <t>bassin à Wolkrange et Udange (Turpange en projet)</t>
  </si>
  <si>
    <t>prime à étudier</t>
  </si>
  <si>
    <t xml:space="preserve">Habergy Guelf Bébange </t>
  </si>
  <si>
    <t>Sélange 20 maisons</t>
  </si>
  <si>
    <t>gestion par DNF / entretien coupe-feu</t>
  </si>
  <si>
    <t>Ensemble de mesures permettant d'éviter les incendies de forêts règlement RW</t>
  </si>
  <si>
    <t>DNF</t>
  </si>
  <si>
    <t xml:space="preserve">MESSANCY </t>
  </si>
  <si>
    <t>AGISSONS AUJOURD'HUI POUR DEMAIN</t>
  </si>
  <si>
    <t>2030 C'EST DEMAIN</t>
  </si>
  <si>
    <t>AGISSONS AUJOURD'HUI</t>
  </si>
  <si>
    <t>Approche du secteur agricole pour écouter les attentes, les craintes vis-à-vis du chgt climatique (sécheresse, nouvelles pathologies)</t>
  </si>
  <si>
    <t>en complément de ADO-4</t>
  </si>
  <si>
    <t>Curage des ruisseaux</t>
  </si>
  <si>
    <t xml:space="preserve">Modernisation du parc </t>
  </si>
  <si>
    <t>Participation parcs éoliens</t>
  </si>
  <si>
    <t>Eolienne de 10 kW</t>
  </si>
  <si>
    <t xml:space="preserve">Intégration du projet Renov Energie dans les projets isolation logement. une solution clé-en-main pour mobiliser les citoyens les aider à réduire les consommations d’énergie dans le bâti privé existant.
Dure : Se référer au tableau envoyé par mail
 Un accompagnement sur mesure du citoyen dans le cadre de la rénovation énergétique de son habitation.  
o Sélection d’entreprises du bâtiment et de techniques spéciales au sein du territoire
o Analyse des devis pour les travaux demandés par les candidats rénovateurs 
o Accompagnement individuel pour chaque rénovateur pour les démarches administratives (primes,…) et pour trouver les meilleures formules de financement. 
o Calcul de la rentabilité des travaux
o Suivi de chantier (suivi technique et administratif des chantiers, médiation si besoin entre le rénovateur et l’entreprise si un problème surgit)
Concerne les travaux suivants : 
• l’isolation thermique : toit – murs – sol 
• le remplacement vitrages ou Châssis 
• le remplacement Chauffage : Condensation – Biomasse 
• installer une pompe-à-chaleur 
• la rénovation Eclairage LED 
• installer des panneaux solaires photovoltaïques ou thermiques
</t>
  </si>
  <si>
    <t>Mise en place de panneaux à message spécifique, comme p.ex. la coupure du moteur devant un passage, devant les écoles, au parc à conteneur… Idéalement, le panneau portera le logo de la CoM</t>
  </si>
  <si>
    <t>Objectif: replanter 8 km de haies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</si>
</sst>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_-* #,##0\ [$€-40C]_-;\-* #,##0\ [$€-40C]_-;_-* &quot;-&quot;??\ [$€-40C]_-;_-@_-"/>
    <numFmt numFmtId="165" formatCode="0.0%"/>
    <numFmt numFmtId="166" formatCode="_ * #,##0.0_ ;_ * \-#,##0.0_ ;_ * &quot;-&quot;??_ ;_ @_ "/>
    <numFmt numFmtId="167" formatCode="_ * #,##0_ ;_ * \-#,##0_ ;_ * &quot;-&quot;??_ ;_ @_ "/>
    <numFmt numFmtId="168" formatCode="0.0"/>
    <numFmt numFmtId="169" formatCode="_-* #,##0.00\ [$€]_-;\-* #,##0.00\ [$€]_-;_-* &quot;-&quot;??\ [$€]_-;_-@_-"/>
    <numFmt numFmtId="170" formatCode="0.000"/>
    <numFmt numFmtId="171" formatCode="0.0000"/>
    <numFmt numFmtId="172" formatCode="#,##0.0"/>
    <numFmt numFmtId="173" formatCode="#,##0\ [$€-1];[Red]\-#,##0\ [$€-1]"/>
    <numFmt numFmtId="174" formatCode="#,##0.00\ _€"/>
    <numFmt numFmtId="175" formatCode="_-* #,##0\ _€_-;\-* #,##0\ _€_-;_-* &quot;-&quot;??\ _€_-;_-@_-"/>
    <numFmt numFmtId="176" formatCode="d/mm/yyyy;@"/>
    <numFmt numFmtId="177" formatCode="#,##0.0_ ;\-#,##0.0\ "/>
    <numFmt numFmtId="178" formatCode="#,##0_ ;\-#,##0\ "/>
  </numFmts>
  <fonts count="59" x14ac:knownFonts="1">
    <font>
      <sz val="11"/>
      <color theme="1"/>
      <name val="Calibri"/>
      <family val="2"/>
      <scheme val="minor"/>
    </font>
    <font>
      <sz val="11"/>
      <color theme="1"/>
      <name val="Calibri"/>
      <family val="2"/>
      <scheme val="minor"/>
    </font>
    <font>
      <b/>
      <sz val="16"/>
      <color rgb="FF003742"/>
      <name val="Calibri"/>
      <family val="2"/>
      <scheme val="minor"/>
    </font>
    <font>
      <sz val="11"/>
      <color rgb="FF003742"/>
      <name val="Calibri"/>
      <family val="2"/>
      <scheme val="minor"/>
    </font>
    <font>
      <b/>
      <sz val="20"/>
      <color rgb="FF003742"/>
      <name val="Calibri"/>
      <family val="2"/>
      <scheme val="minor"/>
    </font>
    <font>
      <b/>
      <sz val="11"/>
      <color rgb="FF003742"/>
      <name val="Calibri"/>
      <family val="2"/>
      <scheme val="minor"/>
    </font>
    <font>
      <b/>
      <sz val="14"/>
      <color rgb="FF003742"/>
      <name val="Calibri"/>
      <family val="2"/>
      <scheme val="minor"/>
    </font>
    <font>
      <sz val="12"/>
      <color rgb="FF003742"/>
      <name val="Calibri"/>
      <family val="2"/>
      <scheme val="minor"/>
    </font>
    <font>
      <b/>
      <sz val="11"/>
      <color theme="1"/>
      <name val="Calibri"/>
      <family val="2"/>
      <scheme val="minor"/>
    </font>
    <font>
      <sz val="10"/>
      <name val="Arial"/>
      <family val="2"/>
    </font>
    <font>
      <b/>
      <sz val="18"/>
      <color rgb="FF003742"/>
      <name val="Calibri"/>
      <family val="2"/>
      <scheme val="minor"/>
    </font>
    <font>
      <sz val="11"/>
      <color rgb="FFFF0000"/>
      <name val="Calibri"/>
      <family val="2"/>
      <scheme val="minor"/>
    </font>
    <font>
      <b/>
      <sz val="11"/>
      <name val="Calibri"/>
      <family val="2"/>
      <scheme val="minor"/>
    </font>
    <font>
      <sz val="11"/>
      <name val="Calibri"/>
      <family val="2"/>
      <scheme val="minor"/>
    </font>
    <font>
      <b/>
      <sz val="20"/>
      <color theme="1"/>
      <name val="Calibri"/>
      <family val="2"/>
      <scheme val="minor"/>
    </font>
    <font>
      <sz val="8"/>
      <name val="Arial"/>
      <family val="2"/>
    </font>
    <font>
      <b/>
      <sz val="9"/>
      <name val="Arial"/>
      <family val="2"/>
    </font>
    <font>
      <b/>
      <sz val="8"/>
      <name val="Arial"/>
      <family val="2"/>
    </font>
    <font>
      <sz val="11"/>
      <color rgb="FF008000"/>
      <name val="Calibri"/>
      <family val="2"/>
      <scheme val="minor"/>
    </font>
    <font>
      <sz val="12"/>
      <name val="Calibri"/>
      <family val="2"/>
      <scheme val="minor"/>
    </font>
    <font>
      <b/>
      <sz val="14"/>
      <name val="Calibri"/>
      <family val="2"/>
      <scheme val="minor"/>
    </font>
    <font>
      <b/>
      <sz val="12"/>
      <name val="Calibri"/>
      <family val="2"/>
      <scheme val="minor"/>
    </font>
    <font>
      <b/>
      <sz val="18"/>
      <name val="Calibri"/>
      <family val="2"/>
      <scheme val="minor"/>
    </font>
    <font>
      <sz val="10"/>
      <color theme="1"/>
      <name val="Calibri"/>
      <family val="2"/>
      <scheme val="minor"/>
    </font>
    <font>
      <u/>
      <sz val="11"/>
      <color theme="10"/>
      <name val="Calibri"/>
      <family val="2"/>
      <scheme val="minor"/>
    </font>
    <font>
      <b/>
      <sz val="18"/>
      <color indexed="56"/>
      <name val="Calibri"/>
      <family val="2"/>
      <scheme val="minor"/>
    </font>
    <font>
      <b/>
      <sz val="9"/>
      <color indexed="81"/>
      <name val="Tahoma"/>
      <family val="2"/>
    </font>
    <font>
      <sz val="9"/>
      <color indexed="81"/>
      <name val="Tahoma"/>
      <family val="2"/>
    </font>
    <font>
      <sz val="11"/>
      <color theme="1" tint="0.249977111117893"/>
      <name val="Calibri"/>
      <family val="2"/>
      <scheme val="minor"/>
    </font>
    <font>
      <b/>
      <sz val="14"/>
      <color theme="1" tint="0.249977111117893"/>
      <name val="Calibri"/>
      <family val="2"/>
      <scheme val="minor"/>
    </font>
    <font>
      <b/>
      <sz val="11"/>
      <color theme="1" tint="0.249977111117893"/>
      <name val="Calibri"/>
      <family val="2"/>
      <scheme val="minor"/>
    </font>
    <font>
      <b/>
      <sz val="12"/>
      <color rgb="FFFFFFFF"/>
      <name val="Calibri"/>
      <family val="2"/>
    </font>
    <font>
      <b/>
      <vertAlign val="superscript"/>
      <sz val="12"/>
      <color rgb="FFFFFFFF"/>
      <name val="Calibri"/>
      <family val="2"/>
    </font>
    <font>
      <sz val="12"/>
      <color rgb="FF000000"/>
      <name val="Calibri"/>
      <family val="2"/>
    </font>
    <font>
      <sz val="11"/>
      <color theme="0"/>
      <name val="Calibri"/>
      <family val="2"/>
      <scheme val="minor"/>
    </font>
    <font>
      <sz val="12"/>
      <color theme="0"/>
      <name val="Calibri"/>
      <family val="2"/>
      <scheme val="minor"/>
    </font>
    <font>
      <sz val="8"/>
      <name val="Calibri"/>
      <family val="2"/>
      <scheme val="minor"/>
    </font>
    <font>
      <sz val="10"/>
      <name val="Calibri"/>
      <family val="2"/>
      <scheme val="minor"/>
    </font>
    <font>
      <b/>
      <u/>
      <sz val="11"/>
      <color rgb="FF003742"/>
      <name val="Calibri"/>
      <family val="2"/>
      <scheme val="minor"/>
    </font>
    <font>
      <sz val="8"/>
      <color theme="1"/>
      <name val="Calibri"/>
      <family val="2"/>
      <scheme val="minor"/>
    </font>
    <font>
      <sz val="16"/>
      <color theme="1"/>
      <name val="Calibri"/>
      <family val="2"/>
      <scheme val="minor"/>
    </font>
    <font>
      <b/>
      <sz val="11"/>
      <color rgb="FFFF0000"/>
      <name val="Calibri"/>
      <family val="2"/>
      <scheme val="minor"/>
    </font>
    <font>
      <sz val="8"/>
      <color indexed="8"/>
      <name val="Calibri"/>
      <family val="2"/>
      <charset val="1"/>
    </font>
    <font>
      <b/>
      <sz val="14"/>
      <color rgb="FFFF0000"/>
      <name val="Calibri"/>
      <family val="2"/>
      <scheme val="minor"/>
    </font>
    <font>
      <sz val="8"/>
      <color rgb="FF003742"/>
      <name val="Calibri"/>
      <family val="2"/>
      <scheme val="minor"/>
    </font>
    <font>
      <b/>
      <sz val="12"/>
      <color theme="1"/>
      <name val="Calibri"/>
      <family val="2"/>
      <scheme val="minor"/>
    </font>
    <font>
      <b/>
      <sz val="8"/>
      <name val="Calibri"/>
      <family val="2"/>
      <scheme val="minor"/>
    </font>
    <font>
      <sz val="11"/>
      <color rgb="FF1F497D"/>
      <name val="Calibri"/>
      <family val="2"/>
      <scheme val="minor"/>
    </font>
    <font>
      <sz val="12"/>
      <color rgb="FFFF0000"/>
      <name val="Calibri"/>
      <family val="2"/>
      <scheme val="minor"/>
    </font>
    <font>
      <sz val="12"/>
      <color theme="1"/>
      <name val="Calibri"/>
      <family val="2"/>
      <scheme val="minor"/>
    </font>
    <font>
      <i/>
      <sz val="11"/>
      <color theme="1"/>
      <name val="Calibri"/>
      <family val="2"/>
      <scheme val="minor"/>
    </font>
    <font>
      <i/>
      <sz val="11"/>
      <name val="Calibri"/>
      <family val="2"/>
      <scheme val="minor"/>
    </font>
    <font>
      <u/>
      <sz val="11"/>
      <color theme="1"/>
      <name val="Calibri"/>
      <family val="2"/>
      <scheme val="minor"/>
    </font>
    <font>
      <sz val="7"/>
      <color theme="1"/>
      <name val="Times New Roman"/>
      <family val="1"/>
    </font>
    <font>
      <sz val="11"/>
      <color theme="10"/>
      <name val="Calibri"/>
      <family val="2"/>
      <scheme val="minor"/>
    </font>
    <font>
      <sz val="9"/>
      <name val="Calibri"/>
      <family val="2"/>
      <scheme val="minor"/>
    </font>
    <font>
      <sz val="10"/>
      <color rgb="FFFFFF00"/>
      <name val="Calibri"/>
      <family val="2"/>
      <scheme val="minor"/>
    </font>
    <font>
      <u/>
      <sz val="11"/>
      <color theme="0"/>
      <name val="Calibri"/>
      <family val="2"/>
      <scheme val="minor"/>
    </font>
    <font>
      <sz val="28"/>
      <color theme="1"/>
      <name val="Calibri"/>
      <family val="2"/>
      <scheme val="minor"/>
    </font>
  </fonts>
  <fills count="54">
    <fill>
      <patternFill patternType="none"/>
    </fill>
    <fill>
      <patternFill patternType="gray125"/>
    </fill>
    <fill>
      <patternFill patternType="solid">
        <fgColor rgb="FFCCFF99"/>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C5D1"/>
        <bgColor indexed="64"/>
      </patternFill>
    </fill>
    <fill>
      <patternFill patternType="solid">
        <fgColor rgb="FFD1FFD1"/>
        <bgColor indexed="64"/>
      </patternFill>
    </fill>
    <fill>
      <patternFill patternType="solid">
        <fgColor rgb="FFB1FBFD"/>
        <bgColor indexed="64"/>
      </patternFill>
    </fill>
    <fill>
      <patternFill patternType="solid">
        <fgColor rgb="FF79FD67"/>
        <bgColor indexed="64"/>
      </patternFill>
    </fill>
    <fill>
      <patternFill patternType="solid">
        <fgColor rgb="FFFF9797"/>
        <bgColor indexed="64"/>
      </patternFill>
    </fill>
    <fill>
      <patternFill patternType="solid">
        <fgColor rgb="FFFFB9B9"/>
        <bgColor indexed="64"/>
      </patternFill>
    </fill>
    <fill>
      <patternFill patternType="solid">
        <fgColor rgb="FFFFC6AF"/>
        <bgColor indexed="64"/>
      </patternFill>
    </fill>
    <fill>
      <patternFill patternType="solid">
        <fgColor rgb="FFFFB3B3"/>
        <bgColor indexed="64"/>
      </patternFill>
    </fill>
    <fill>
      <patternFill patternType="solid">
        <fgColor rgb="FFFFCF37"/>
        <bgColor indexed="64"/>
      </patternFill>
    </fill>
    <fill>
      <patternFill patternType="solid">
        <fgColor rgb="FF97DCFF"/>
        <bgColor indexed="64"/>
      </patternFill>
    </fill>
    <fill>
      <patternFill patternType="solid">
        <fgColor rgb="FF92FB75"/>
        <bgColor indexed="64"/>
      </patternFill>
    </fill>
    <fill>
      <patternFill patternType="solid">
        <fgColor rgb="FFFFD6D5"/>
        <bgColor indexed="64"/>
      </patternFill>
    </fill>
    <fill>
      <patternFill patternType="solid">
        <fgColor rgb="FF7FF1FD"/>
        <bgColor indexed="64"/>
      </patternFill>
    </fill>
    <fill>
      <patternFill patternType="solid">
        <fgColor rgb="FF00B0F0"/>
        <bgColor indexed="64"/>
      </patternFill>
    </fill>
    <fill>
      <patternFill patternType="solid">
        <fgColor rgb="FF0070C0"/>
        <bgColor indexed="64"/>
      </patternFill>
    </fill>
    <fill>
      <patternFill patternType="solid">
        <fgColor rgb="FFFFCCCC"/>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rgb="FFCCECFF"/>
        <bgColor indexed="64"/>
      </patternFill>
    </fill>
    <fill>
      <patternFill patternType="solid">
        <fgColor rgb="FFCCFFCC"/>
        <bgColor indexed="64"/>
      </patternFill>
    </fill>
    <fill>
      <patternFill patternType="solid">
        <fgColor rgb="FFFD9E8B"/>
        <bgColor indexed="64"/>
      </patternFill>
    </fill>
    <fill>
      <patternFill patternType="solid">
        <fgColor rgb="FF99CCFF"/>
        <bgColor indexed="64"/>
      </patternFill>
    </fill>
    <fill>
      <patternFill patternType="solid">
        <fgColor rgb="FF09E70E"/>
        <bgColor indexed="64"/>
      </patternFill>
    </fill>
    <fill>
      <patternFill patternType="solid">
        <fgColor rgb="FF99FF99"/>
        <bgColor indexed="64"/>
      </patternFill>
    </fill>
    <fill>
      <patternFill patternType="solid">
        <fgColor rgb="FFFF9999"/>
        <bgColor indexed="64"/>
      </patternFill>
    </fill>
    <fill>
      <patternFill patternType="solid">
        <fgColor theme="1" tint="0.499984740745262"/>
        <bgColor indexed="64"/>
      </patternFill>
    </fill>
    <fill>
      <patternFill patternType="solid">
        <fgColor rgb="FFBAFEC0"/>
        <bgColor indexed="64"/>
      </patternFill>
    </fill>
    <fill>
      <patternFill patternType="solid">
        <fgColor rgb="FFFF9F9F"/>
        <bgColor indexed="64"/>
      </patternFill>
    </fill>
    <fill>
      <patternFill patternType="solid">
        <fgColor indexed="26"/>
        <bgColor indexed="9"/>
      </patternFill>
    </fill>
    <fill>
      <patternFill patternType="solid">
        <fgColor indexed="45"/>
        <bgColor indexed="29"/>
      </patternFill>
    </fill>
    <fill>
      <patternFill patternType="solid">
        <fgColor rgb="FF00FF00"/>
        <bgColor indexed="64"/>
      </patternFill>
    </fill>
    <fill>
      <patternFill patternType="solid">
        <fgColor rgb="FFFF9966"/>
        <bgColor indexed="64"/>
      </patternFill>
    </fill>
    <fill>
      <patternFill patternType="solid">
        <fgColor theme="0" tint="-0.34998626667073579"/>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79998168889431442"/>
        <bgColor indexed="64"/>
      </patternFill>
    </fill>
    <fill>
      <patternFill patternType="gray125">
        <bgColor theme="0"/>
      </patternFill>
    </fill>
    <fill>
      <patternFill patternType="solid">
        <fgColor theme="0" tint="-4.9989318521683403E-2"/>
        <bgColor indexed="64"/>
      </patternFill>
    </fill>
    <fill>
      <patternFill patternType="gray125">
        <bgColor theme="0" tint="-4.9989318521683403E-2"/>
      </patternFill>
    </fill>
    <fill>
      <patternFill patternType="solid">
        <fgColor rgb="FF008000"/>
        <bgColor indexed="64"/>
      </patternFill>
    </fill>
    <fill>
      <patternFill patternType="solid">
        <fgColor rgb="FFFF99CC"/>
        <bgColor indexed="64"/>
      </patternFill>
    </fill>
    <fill>
      <patternFill patternType="solid">
        <fgColor rgb="FFC00000"/>
        <bgColor indexed="64"/>
      </patternFill>
    </fill>
    <fill>
      <patternFill patternType="solid">
        <fgColor rgb="FFFF0000"/>
        <bgColor indexed="64"/>
      </patternFill>
    </fill>
    <fill>
      <patternFill patternType="solid">
        <fgColor rgb="FF0BE325"/>
        <bgColor indexed="64"/>
      </patternFill>
    </fill>
    <fill>
      <patternFill patternType="solid">
        <fgColor theme="0" tint="-0.249977111117893"/>
        <bgColor indexed="64"/>
      </patternFill>
    </fill>
    <fill>
      <patternFill patternType="solid">
        <fgColor rgb="FF00B050"/>
        <bgColor indexed="64"/>
      </patternFill>
    </fill>
    <fill>
      <patternFill patternType="solid">
        <fgColor theme="0" tint="-0.14999847407452621"/>
        <bgColor indexed="64"/>
      </patternFill>
    </fill>
  </fills>
  <borders count="63">
    <border>
      <left/>
      <right/>
      <top/>
      <bottom/>
      <diagonal/>
    </border>
    <border>
      <left style="thin">
        <color rgb="FF003742"/>
      </left>
      <right style="thin">
        <color rgb="FF003742"/>
      </right>
      <top style="thin">
        <color rgb="FF003742"/>
      </top>
      <bottom style="thin">
        <color rgb="FF003742"/>
      </bottom>
      <diagonal/>
    </border>
    <border>
      <left style="medium">
        <color rgb="FF003742"/>
      </left>
      <right/>
      <top style="medium">
        <color rgb="FF003742"/>
      </top>
      <bottom style="medium">
        <color rgb="FF003742"/>
      </bottom>
      <diagonal/>
    </border>
    <border>
      <left style="thin">
        <color rgb="FF003742"/>
      </left>
      <right style="thin">
        <color rgb="FF003742"/>
      </right>
      <top/>
      <bottom/>
      <diagonal/>
    </border>
    <border>
      <left style="thin">
        <color indexed="64"/>
      </left>
      <right style="thin">
        <color indexed="64"/>
      </right>
      <top style="thin">
        <color indexed="64"/>
      </top>
      <bottom style="thin">
        <color indexed="64"/>
      </bottom>
      <diagonal/>
    </border>
    <border>
      <left style="thin">
        <color rgb="FF003742"/>
      </left>
      <right/>
      <top style="thin">
        <color rgb="FF003742"/>
      </top>
      <bottom style="thin">
        <color rgb="FF003742"/>
      </bottom>
      <diagonal/>
    </border>
    <border>
      <left style="medium">
        <color indexed="64"/>
      </left>
      <right/>
      <top/>
      <bottom/>
      <diagonal/>
    </border>
    <border>
      <left/>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rgb="FF003742"/>
      </left>
      <right/>
      <top/>
      <bottom style="thin">
        <color rgb="FF003742"/>
      </bottom>
      <diagonal/>
    </border>
    <border>
      <left style="medium">
        <color rgb="FF003742"/>
      </left>
      <right/>
      <top style="thin">
        <color rgb="FF003742"/>
      </top>
      <bottom style="thin">
        <color rgb="FF003742"/>
      </bottom>
      <diagonal/>
    </border>
    <border>
      <left style="medium">
        <color rgb="FF003742"/>
      </left>
      <right/>
      <top style="thin">
        <color rgb="FF003742"/>
      </top>
      <bottom/>
      <diagonal/>
    </border>
    <border>
      <left style="thin">
        <color rgb="FF003742"/>
      </left>
      <right style="thin">
        <color rgb="FF003742"/>
      </right>
      <top style="thin">
        <color rgb="FF003742"/>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rgb="FFFFFFFF"/>
      </left>
      <right style="medium">
        <color rgb="FFFFFFFF"/>
      </right>
      <top/>
      <bottom style="thick">
        <color rgb="FFFFFFFF"/>
      </bottom>
      <diagonal/>
    </border>
    <border>
      <left style="medium">
        <color rgb="FFFFFFFF"/>
      </left>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top style="thick">
        <color rgb="FFFFFFFF"/>
      </top>
      <bottom style="medium">
        <color rgb="FFFFFFFF"/>
      </bottom>
      <diagonal/>
    </border>
    <border>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rgb="FF000000"/>
      </top>
      <bottom style="thin">
        <color rgb="FF000000"/>
      </bottom>
      <diagonal/>
    </border>
    <border>
      <left style="thin">
        <color indexed="64"/>
      </left>
      <right style="thick">
        <color indexed="64"/>
      </right>
      <top style="thin">
        <color indexed="64"/>
      </top>
      <bottom style="thin">
        <color indexed="64"/>
      </bottom>
      <diagonal/>
    </border>
    <border>
      <left style="thick">
        <color indexed="64"/>
      </left>
      <right/>
      <top/>
      <bottom style="thin">
        <color rgb="FF000000"/>
      </bottom>
      <diagonal/>
    </border>
    <border>
      <left style="thick">
        <color indexed="64"/>
      </left>
      <right/>
      <top style="thin">
        <color rgb="FF000000"/>
      </top>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bottom/>
      <diagonal/>
    </border>
    <border>
      <left/>
      <right style="thin">
        <color rgb="FF003742"/>
      </right>
      <top style="thin">
        <color rgb="FF003742"/>
      </top>
      <bottom style="thin">
        <color rgb="FF003742"/>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7">
    <xf numFmtId="0" fontId="0" fillId="0" borderId="0"/>
    <xf numFmtId="9" fontId="1" fillId="0" borderId="0" applyFont="0" applyFill="0" applyBorder="0" applyAlignment="0" applyProtection="0"/>
    <xf numFmtId="43" fontId="1" fillId="0" borderId="0" applyFont="0" applyFill="0" applyBorder="0" applyAlignment="0" applyProtection="0"/>
    <xf numFmtId="0" fontId="9" fillId="0" borderId="0"/>
    <xf numFmtId="169" fontId="9" fillId="0" borderId="0" applyFont="0" applyFill="0" applyBorder="0" applyAlignment="0" applyProtection="0"/>
    <xf numFmtId="0" fontId="15" fillId="0" borderId="0"/>
    <xf numFmtId="0" fontId="24" fillId="0" borderId="0" applyNumberFormat="0" applyFill="0" applyBorder="0" applyAlignment="0" applyProtection="0"/>
  </cellStyleXfs>
  <cellXfs count="1188">
    <xf numFmtId="0" fontId="0" fillId="0" borderId="0" xfId="0"/>
    <xf numFmtId="0" fontId="0" fillId="0" borderId="0" xfId="0"/>
    <xf numFmtId="0" fontId="0" fillId="0" borderId="0" xfId="0" applyBorder="1"/>
    <xf numFmtId="0" fontId="3" fillId="0" borderId="0" xfId="0" applyFont="1"/>
    <xf numFmtId="0" fontId="4" fillId="0" borderId="0" xfId="0" applyFont="1"/>
    <xf numFmtId="0" fontId="3" fillId="0" borderId="0" xfId="0" applyFont="1"/>
    <xf numFmtId="0" fontId="0" fillId="0" borderId="0" xfId="0"/>
    <xf numFmtId="0" fontId="11" fillId="0" borderId="0" xfId="0" applyFont="1"/>
    <xf numFmtId="0" fontId="11" fillId="0" borderId="0" xfId="0" applyFont="1" applyBorder="1"/>
    <xf numFmtId="0" fontId="0" fillId="0" borderId="0" xfId="0" applyAlignment="1">
      <alignment vertical="center"/>
    </xf>
    <xf numFmtId="0" fontId="0" fillId="0" borderId="0" xfId="0" applyBorder="1" applyAlignment="1">
      <alignment vertical="center"/>
    </xf>
    <xf numFmtId="0" fontId="14" fillId="0" borderId="0" xfId="0" applyFont="1"/>
    <xf numFmtId="165" fontId="3" fillId="0" borderId="4" xfId="1" applyNumberFormat="1" applyFont="1" applyBorder="1"/>
    <xf numFmtId="0" fontId="5" fillId="0" borderId="4" xfId="0" applyFont="1" applyBorder="1"/>
    <xf numFmtId="165" fontId="3" fillId="0" borderId="9" xfId="1" applyNumberFormat="1" applyFont="1" applyBorder="1"/>
    <xf numFmtId="9" fontId="0" fillId="0" borderId="0" xfId="0" applyNumberFormat="1"/>
    <xf numFmtId="167" fontId="18" fillId="0" borderId="4" xfId="0" applyNumberFormat="1" applyFont="1" applyBorder="1"/>
    <xf numFmtId="9" fontId="18" fillId="0" borderId="4" xfId="0" applyNumberFormat="1" applyFont="1" applyBorder="1"/>
    <xf numFmtId="1" fontId="13" fillId="0" borderId="4" xfId="0" applyNumberFormat="1" applyFont="1" applyBorder="1"/>
    <xf numFmtId="0" fontId="6" fillId="0" borderId="4" xfId="0" applyFont="1" applyBorder="1"/>
    <xf numFmtId="0" fontId="3" fillId="0" borderId="4" xfId="0" applyFont="1" applyBorder="1"/>
    <xf numFmtId="0" fontId="5" fillId="0" borderId="10" xfId="0" applyFont="1" applyBorder="1"/>
    <xf numFmtId="0" fontId="8" fillId="0" borderId="10" xfId="0" applyFont="1" applyBorder="1"/>
    <xf numFmtId="0" fontId="5" fillId="0" borderId="4" xfId="0" applyFont="1" applyBorder="1" applyAlignment="1">
      <alignment horizontal="center"/>
    </xf>
    <xf numFmtId="9" fontId="5" fillId="0" borderId="4" xfId="1" applyFont="1" applyBorder="1"/>
    <xf numFmtId="0" fontId="0" fillId="0" borderId="0" xfId="0" applyAlignment="1">
      <alignment horizontal="left"/>
    </xf>
    <xf numFmtId="165" fontId="5" fillId="0" borderId="9" xfId="1" applyNumberFormat="1" applyFont="1" applyBorder="1"/>
    <xf numFmtId="165" fontId="5" fillId="0" borderId="4" xfId="1" applyNumberFormat="1" applyFont="1" applyBorder="1"/>
    <xf numFmtId="0" fontId="5" fillId="0" borderId="11" xfId="0" applyFont="1" applyBorder="1" applyAlignment="1"/>
    <xf numFmtId="1" fontId="5" fillId="0" borderId="9" xfId="0" applyNumberFormat="1" applyFont="1" applyBorder="1"/>
    <xf numFmtId="0" fontId="13" fillId="0" borderId="0" xfId="0" applyFont="1" applyAlignment="1">
      <alignment vertical="justify"/>
    </xf>
    <xf numFmtId="1" fontId="6" fillId="0" borderId="10" xfId="0" applyNumberFormat="1" applyFont="1" applyBorder="1" applyAlignment="1">
      <alignment horizontal="center"/>
    </xf>
    <xf numFmtId="1" fontId="5" fillId="0" borderId="4" xfId="0" applyNumberFormat="1" applyFont="1" applyBorder="1"/>
    <xf numFmtId="0" fontId="3" fillId="0" borderId="0" xfId="0" applyFont="1" applyBorder="1" applyAlignment="1">
      <alignment horizontal="right" vertical="justify"/>
    </xf>
    <xf numFmtId="164" fontId="3" fillId="0" borderId="0" xfId="0" applyNumberFormat="1" applyFont="1" applyBorder="1" applyAlignment="1">
      <alignment horizontal="left" vertical="justify"/>
    </xf>
    <xf numFmtId="164" fontId="3" fillId="0" borderId="0" xfId="0" applyNumberFormat="1" applyFont="1" applyBorder="1" applyAlignment="1">
      <alignment vertical="justify"/>
    </xf>
    <xf numFmtId="164" fontId="3" fillId="0" borderId="0" xfId="0" applyNumberFormat="1" applyFont="1" applyBorder="1" applyAlignment="1">
      <alignment horizontal="center" vertical="justify"/>
    </xf>
    <xf numFmtId="168" fontId="3" fillId="0" borderId="0" xfId="0" applyNumberFormat="1" applyFont="1" applyBorder="1" applyAlignment="1">
      <alignment horizontal="right" vertical="justify"/>
    </xf>
    <xf numFmtId="2" fontId="3" fillId="0" borderId="0" xfId="0" applyNumberFormat="1" applyFont="1" applyFill="1" applyBorder="1" applyAlignment="1">
      <alignment horizontal="right" vertical="justify"/>
    </xf>
    <xf numFmtId="9" fontId="11" fillId="0" borderId="0" xfId="1" applyFont="1" applyBorder="1" applyAlignment="1">
      <alignment horizontal="right"/>
    </xf>
    <xf numFmtId="165" fontId="11" fillId="0" borderId="0" xfId="1" applyNumberFormat="1" applyFont="1" applyBorder="1" applyAlignment="1">
      <alignment horizontal="right"/>
    </xf>
    <xf numFmtId="0" fontId="0" fillId="0" borderId="0" xfId="0" applyBorder="1" applyAlignment="1">
      <alignment horizontal="right"/>
    </xf>
    <xf numFmtId="0" fontId="3" fillId="0" borderId="0" xfId="0" applyFont="1" applyBorder="1" applyAlignment="1">
      <alignment horizontal="right" vertical="center"/>
    </xf>
    <xf numFmtId="164" fontId="3" fillId="0" borderId="0" xfId="0" applyNumberFormat="1" applyFont="1" applyBorder="1" applyAlignment="1">
      <alignment horizontal="left" vertical="center"/>
    </xf>
    <xf numFmtId="164" fontId="3" fillId="0" borderId="0" xfId="0" applyNumberFormat="1" applyFont="1" applyBorder="1" applyAlignment="1">
      <alignment vertical="center"/>
    </xf>
    <xf numFmtId="164" fontId="3" fillId="0" borderId="0" xfId="0" applyNumberFormat="1" applyFont="1" applyBorder="1" applyAlignment="1">
      <alignment horizontal="center" vertical="center"/>
    </xf>
    <xf numFmtId="168" fontId="3" fillId="0" borderId="0" xfId="0" applyNumberFormat="1" applyFont="1" applyBorder="1" applyAlignment="1">
      <alignment horizontal="right" vertical="center"/>
    </xf>
    <xf numFmtId="2" fontId="3" fillId="0" borderId="0" xfId="0" applyNumberFormat="1" applyFont="1" applyFill="1" applyBorder="1" applyAlignment="1">
      <alignment horizontal="right" vertical="center"/>
    </xf>
    <xf numFmtId="9" fontId="11" fillId="0" borderId="0" xfId="1" applyFont="1" applyBorder="1" applyAlignment="1">
      <alignment horizontal="right" vertical="center"/>
    </xf>
    <xf numFmtId="165" fontId="11" fillId="0" borderId="0" xfId="1" applyNumberFormat="1" applyFont="1" applyBorder="1" applyAlignment="1">
      <alignment horizontal="right" vertical="center"/>
    </xf>
    <xf numFmtId="0" fontId="0" fillId="0" borderId="0" xfId="0" applyBorder="1" applyAlignment="1">
      <alignment horizontal="right" vertical="center"/>
    </xf>
    <xf numFmtId="164" fontId="13" fillId="0" borderId="0" xfId="0" applyNumberFormat="1" applyFont="1" applyAlignment="1">
      <alignment vertical="justify"/>
    </xf>
    <xf numFmtId="0" fontId="0" fillId="0" borderId="0" xfId="0" applyFill="1" applyBorder="1"/>
    <xf numFmtId="43" fontId="21" fillId="0" borderId="0" xfId="0" applyNumberFormat="1" applyFont="1" applyAlignment="1">
      <alignment vertical="justify"/>
    </xf>
    <xf numFmtId="0" fontId="0" fillId="0" borderId="0" xfId="0" applyAlignment="1">
      <alignment horizontal="center" vertical="center" wrapText="1"/>
    </xf>
    <xf numFmtId="0" fontId="0" fillId="0" borderId="0" xfId="0" applyAlignment="1">
      <alignment horizontal="center" vertical="center"/>
    </xf>
    <xf numFmtId="0" fontId="0" fillId="0" borderId="4" xfId="0" applyBorder="1" applyAlignment="1">
      <alignment horizontal="center" vertical="center"/>
    </xf>
    <xf numFmtId="0" fontId="0" fillId="6" borderId="4" xfId="0" applyFill="1" applyBorder="1" applyAlignment="1">
      <alignment horizontal="center" vertical="center" wrapText="1"/>
    </xf>
    <xf numFmtId="0" fontId="0" fillId="6" borderId="4" xfId="0" applyFill="1" applyBorder="1" applyAlignment="1">
      <alignment horizontal="center" vertical="center"/>
    </xf>
    <xf numFmtId="0" fontId="0" fillId="9" borderId="4" xfId="0" applyFill="1" applyBorder="1" applyAlignment="1">
      <alignment horizontal="center" vertical="center" wrapText="1"/>
    </xf>
    <xf numFmtId="0" fontId="0" fillId="10" borderId="4" xfId="0" applyFill="1" applyBorder="1" applyAlignment="1">
      <alignment horizontal="center" vertical="center" wrapText="1"/>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10" borderId="12" xfId="0" applyFill="1" applyBorder="1" applyAlignment="1">
      <alignment horizontal="center" vertical="center"/>
    </xf>
    <xf numFmtId="1" fontId="0" fillId="0" borderId="0" xfId="0" applyNumberFormat="1"/>
    <xf numFmtId="1" fontId="0" fillId="10" borderId="0" xfId="0" applyNumberFormat="1" applyFill="1" applyAlignment="1">
      <alignment vertical="center"/>
    </xf>
    <xf numFmtId="0" fontId="0" fillId="9" borderId="4" xfId="0" applyFill="1" applyBorder="1" applyAlignment="1">
      <alignment vertical="center"/>
    </xf>
    <xf numFmtId="1" fontId="0" fillId="0" borderId="0" xfId="0" applyNumberFormat="1" applyAlignment="1">
      <alignment vertical="center"/>
    </xf>
    <xf numFmtId="1" fontId="0" fillId="9" borderId="4" xfId="0" applyNumberFormat="1" applyFill="1" applyBorder="1" applyAlignment="1">
      <alignment horizontal="center" vertical="center" wrapText="1"/>
    </xf>
    <xf numFmtId="1" fontId="0" fillId="10" borderId="4" xfId="0" applyNumberFormat="1" applyFill="1" applyBorder="1" applyAlignment="1">
      <alignment horizontal="center" vertical="center" wrapText="1"/>
    </xf>
    <xf numFmtId="0" fontId="23" fillId="9" borderId="4"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0" fillId="11" borderId="4" xfId="0" applyFill="1" applyBorder="1" applyAlignment="1">
      <alignment horizontal="center" vertical="center"/>
    </xf>
    <xf numFmtId="1" fontId="0" fillId="10" borderId="0" xfId="0" applyNumberFormat="1" applyFill="1" applyAlignment="1">
      <alignment horizontal="center" vertical="center"/>
    </xf>
    <xf numFmtId="0" fontId="0" fillId="10" borderId="13" xfId="0" applyFill="1" applyBorder="1" applyAlignment="1">
      <alignment horizontal="center" vertical="center"/>
    </xf>
    <xf numFmtId="1" fontId="0" fillId="10" borderId="4" xfId="0" applyNumberFormat="1" applyFill="1" applyBorder="1" applyAlignment="1">
      <alignment horizontal="center" vertical="center"/>
    </xf>
    <xf numFmtId="1" fontId="0" fillId="11" borderId="4" xfId="0" applyNumberFormat="1" applyFill="1" applyBorder="1" applyAlignment="1">
      <alignment horizontal="center" vertical="center"/>
    </xf>
    <xf numFmtId="0" fontId="13" fillId="10" borderId="4" xfId="0" applyFont="1" applyFill="1" applyBorder="1" applyAlignment="1">
      <alignment horizontal="center" vertical="center"/>
    </xf>
    <xf numFmtId="0" fontId="0" fillId="0" borderId="4" xfId="0" applyFill="1" applyBorder="1" applyAlignment="1">
      <alignment horizontal="center" vertical="center"/>
    </xf>
    <xf numFmtId="0" fontId="0" fillId="0" borderId="4" xfId="0" applyBorder="1"/>
    <xf numFmtId="0" fontId="8" fillId="0" borderId="4" xfId="0" applyFont="1" applyBorder="1"/>
    <xf numFmtId="1" fontId="0" fillId="0" borderId="4" xfId="0" applyNumberFormat="1" applyBorder="1" applyAlignment="1">
      <alignment horizontal="center" vertical="center"/>
    </xf>
    <xf numFmtId="0" fontId="0" fillId="11" borderId="4" xfId="0" applyFill="1" applyBorder="1" applyAlignment="1">
      <alignment horizontal="center" vertical="center" wrapText="1"/>
    </xf>
    <xf numFmtId="165" fontId="0" fillId="0" borderId="4" xfId="1" applyNumberFormat="1" applyFont="1" applyBorder="1"/>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13" borderId="4" xfId="0" applyFill="1" applyBorder="1" applyAlignment="1">
      <alignment horizontal="center" vertical="center" wrapText="1"/>
    </xf>
    <xf numFmtId="1" fontId="0" fillId="13" borderId="4" xfId="0" applyNumberFormat="1" applyFill="1" applyBorder="1" applyAlignment="1">
      <alignment horizontal="center" vertical="center"/>
    </xf>
    <xf numFmtId="170" fontId="0" fillId="10" borderId="4" xfId="0" applyNumberFormat="1" applyFill="1" applyBorder="1" applyAlignment="1">
      <alignment horizontal="center" vertical="center"/>
    </xf>
    <xf numFmtId="0" fontId="0" fillId="13" borderId="4" xfId="0" applyFill="1" applyBorder="1" applyAlignment="1">
      <alignment vertical="center"/>
    </xf>
    <xf numFmtId="171" fontId="0" fillId="13" borderId="4" xfId="0" applyNumberFormat="1" applyFill="1" applyBorder="1" applyAlignment="1">
      <alignment vertical="center"/>
    </xf>
    <xf numFmtId="0" fontId="0" fillId="10" borderId="4" xfId="0" applyFill="1" applyBorder="1" applyAlignment="1">
      <alignment horizontal="center" vertical="center"/>
    </xf>
    <xf numFmtId="0" fontId="0" fillId="9" borderId="4" xfId="0" applyFill="1" applyBorder="1" applyAlignment="1">
      <alignment horizontal="center" vertical="center"/>
    </xf>
    <xf numFmtId="164" fontId="0" fillId="0" borderId="4" xfId="0" applyNumberFormat="1" applyBorder="1"/>
    <xf numFmtId="0" fontId="24" fillId="0" borderId="0" xfId="6"/>
    <xf numFmtId="0" fontId="0" fillId="12" borderId="4" xfId="0" applyFill="1" applyBorder="1" applyAlignment="1">
      <alignment horizontal="center" vertical="center"/>
    </xf>
    <xf numFmtId="0" fontId="5" fillId="7" borderId="4" xfId="0" applyFont="1" applyFill="1" applyBorder="1" applyAlignment="1">
      <alignment horizontal="left" vertical="center"/>
    </xf>
    <xf numFmtId="0" fontId="5" fillId="9" borderId="4" xfId="0" applyFont="1" applyFill="1" applyBorder="1" applyAlignment="1">
      <alignment horizontal="left" vertical="center"/>
    </xf>
    <xf numFmtId="0" fontId="5" fillId="0" borderId="4" xfId="0" applyFont="1" applyBorder="1" applyAlignment="1">
      <alignment horizontal="left" vertical="center"/>
    </xf>
    <xf numFmtId="0" fontId="5" fillId="8" borderId="4" xfId="0" applyFont="1" applyFill="1" applyBorder="1" applyAlignment="1">
      <alignment horizontal="left" vertical="center"/>
    </xf>
    <xf numFmtId="0" fontId="5" fillId="14" borderId="4" xfId="0" applyFont="1" applyFill="1" applyBorder="1" applyAlignment="1">
      <alignment horizontal="left" vertical="center"/>
    </xf>
    <xf numFmtId="0" fontId="5" fillId="0" borderId="4" xfId="0" applyFont="1" applyFill="1" applyBorder="1" applyAlignment="1">
      <alignment horizontal="left" vertical="center"/>
    </xf>
    <xf numFmtId="0" fontId="5" fillId="0" borderId="4" xfId="0" applyFont="1" applyBorder="1" applyAlignment="1">
      <alignment horizontal="left" vertical="center" wrapText="1"/>
    </xf>
    <xf numFmtId="0" fontId="5" fillId="14" borderId="4" xfId="0" applyFont="1" applyFill="1" applyBorder="1" applyAlignment="1">
      <alignment horizontal="left" vertical="center" wrapText="1"/>
    </xf>
    <xf numFmtId="0" fontId="5" fillId="0" borderId="4" xfId="0" applyFont="1" applyFill="1" applyBorder="1" applyAlignment="1">
      <alignment horizontal="left" vertical="center" wrapText="1"/>
    </xf>
    <xf numFmtId="0" fontId="12" fillId="0" borderId="4" xfId="0" applyFont="1" applyBorder="1" applyAlignment="1">
      <alignment horizontal="left" vertical="center"/>
    </xf>
    <xf numFmtId="0" fontId="5" fillId="15" borderId="4" xfId="0" applyFont="1" applyFill="1" applyBorder="1" applyAlignment="1">
      <alignment horizontal="left" vertical="center"/>
    </xf>
    <xf numFmtId="0" fontId="5" fillId="0" borderId="4" xfId="0" applyFont="1" applyBorder="1" applyAlignment="1">
      <alignment horizontal="left" vertical="center"/>
    </xf>
    <xf numFmtId="0" fontId="11" fillId="4" borderId="4" xfId="0" applyFont="1" applyFill="1" applyBorder="1" applyAlignment="1">
      <alignment horizontal="center" vertical="center"/>
    </xf>
    <xf numFmtId="0" fontId="5" fillId="0" borderId="2" xfId="0" applyFont="1" applyBorder="1" applyAlignment="1">
      <alignment horizontal="left" vertical="center"/>
    </xf>
    <xf numFmtId="0" fontId="5" fillId="0" borderId="17" xfId="0" applyFont="1" applyBorder="1" applyAlignment="1">
      <alignment horizontal="left" vertical="center"/>
    </xf>
    <xf numFmtId="0" fontId="0" fillId="16" borderId="4" xfId="0" applyFill="1" applyBorder="1" applyAlignment="1">
      <alignment horizontal="center" vertical="center" wrapText="1"/>
    </xf>
    <xf numFmtId="0" fontId="0" fillId="17" borderId="4" xfId="0" applyFill="1" applyBorder="1" applyAlignment="1">
      <alignment horizontal="center" vertical="center" wrapText="1"/>
    </xf>
    <xf numFmtId="0" fontId="11" fillId="16" borderId="4" xfId="0" applyFont="1" applyFill="1" applyBorder="1" applyAlignment="1">
      <alignment horizontal="center" vertical="center" wrapText="1"/>
    </xf>
    <xf numFmtId="0" fontId="11" fillId="16" borderId="4" xfId="0" applyFont="1" applyFill="1" applyBorder="1" applyAlignment="1">
      <alignment horizontal="center" vertical="center"/>
    </xf>
    <xf numFmtId="0" fontId="5" fillId="0" borderId="18" xfId="0" applyFont="1" applyBorder="1" applyAlignment="1">
      <alignment horizontal="left" vertical="center"/>
    </xf>
    <xf numFmtId="0" fontId="0" fillId="17" borderId="4" xfId="0" applyFill="1" applyBorder="1" applyAlignment="1">
      <alignment horizontal="center" vertical="center"/>
    </xf>
    <xf numFmtId="168" fontId="0" fillId="17" borderId="4" xfId="0" applyNumberFormat="1" applyFill="1" applyBorder="1" applyAlignment="1">
      <alignment horizontal="center" vertical="center"/>
    </xf>
    <xf numFmtId="0" fontId="5" fillId="18" borderId="18" xfId="0" applyFont="1" applyFill="1" applyBorder="1" applyAlignment="1">
      <alignment horizontal="left" vertical="center"/>
    </xf>
    <xf numFmtId="0" fontId="5" fillId="16" borderId="18" xfId="0" applyFont="1" applyFill="1" applyBorder="1" applyAlignment="1">
      <alignment horizontal="left" vertical="center"/>
    </xf>
    <xf numFmtId="0" fontId="5" fillId="5" borderId="18" xfId="0" applyFont="1" applyFill="1" applyBorder="1" applyAlignment="1">
      <alignment horizontal="left" vertical="center"/>
    </xf>
    <xf numFmtId="0" fontId="5" fillId="0" borderId="19" xfId="0" applyFont="1" applyFill="1" applyBorder="1" applyAlignment="1">
      <alignment horizontal="left" vertical="center"/>
    </xf>
    <xf numFmtId="0" fontId="5" fillId="0" borderId="13" xfId="0" applyFont="1" applyFill="1" applyBorder="1" applyAlignment="1">
      <alignment horizontal="left" vertical="center"/>
    </xf>
    <xf numFmtId="0" fontId="12" fillId="0" borderId="1" xfId="0" applyFont="1" applyBorder="1" applyAlignment="1">
      <alignment vertical="justify" wrapText="1"/>
    </xf>
    <xf numFmtId="164" fontId="12" fillId="0" borderId="1" xfId="0" applyNumberFormat="1" applyFont="1" applyBorder="1" applyAlignment="1">
      <alignment vertical="justify" wrapText="1"/>
    </xf>
    <xf numFmtId="0" fontId="12" fillId="0" borderId="5" xfId="0" applyFont="1" applyBorder="1" applyAlignment="1">
      <alignment vertical="justify" wrapText="1"/>
    </xf>
    <xf numFmtId="0" fontId="13" fillId="0" borderId="4" xfId="0" applyFont="1" applyBorder="1" applyAlignment="1">
      <alignment vertical="justify" wrapText="1"/>
    </xf>
    <xf numFmtId="0" fontId="13" fillId="0" borderId="0" xfId="0" applyFont="1" applyAlignment="1">
      <alignment vertical="justify" wrapText="1"/>
    </xf>
    <xf numFmtId="0" fontId="12" fillId="0" borderId="1" xfId="0" applyFont="1" applyBorder="1" applyAlignment="1">
      <alignment horizontal="center" vertical="center" wrapText="1"/>
    </xf>
    <xf numFmtId="164" fontId="12" fillId="0" borderId="1"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xf>
    <xf numFmtId="166" fontId="13" fillId="0" borderId="1" xfId="2" applyNumberFormat="1" applyFont="1" applyBorder="1" applyAlignment="1">
      <alignment horizontal="center" vertical="center"/>
    </xf>
    <xf numFmtId="43" fontId="13" fillId="0" borderId="1" xfId="2" applyFont="1" applyBorder="1" applyAlignment="1">
      <alignment horizontal="center" vertical="center"/>
    </xf>
    <xf numFmtId="0" fontId="13" fillId="0" borderId="5" xfId="0" applyFont="1" applyBorder="1" applyAlignment="1">
      <alignment horizontal="center" vertical="center"/>
    </xf>
    <xf numFmtId="43" fontId="13" fillId="0" borderId="4" xfId="2" applyFont="1" applyBorder="1" applyAlignment="1">
      <alignment horizontal="center" vertical="center"/>
    </xf>
    <xf numFmtId="0" fontId="13" fillId="0" borderId="0" xfId="0" applyFont="1" applyAlignment="1">
      <alignment horizontal="center" vertical="center"/>
    </xf>
    <xf numFmtId="1" fontId="13" fillId="0" borderId="5" xfId="0" applyNumberFormat="1" applyFont="1" applyBorder="1" applyAlignment="1">
      <alignment horizontal="center" vertical="center"/>
    </xf>
    <xf numFmtId="0" fontId="24" fillId="0" borderId="4" xfId="6" applyBorder="1" applyAlignment="1">
      <alignment horizontal="center" vertical="center"/>
    </xf>
    <xf numFmtId="0" fontId="5" fillId="0" borderId="4" xfId="0" applyFont="1" applyBorder="1" applyAlignment="1">
      <alignment horizontal="left" vertical="center"/>
    </xf>
    <xf numFmtId="0" fontId="0" fillId="0" borderId="0" xfId="0"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0" fontId="0" fillId="4" borderId="26" xfId="0" applyFill="1" applyBorder="1" applyAlignment="1">
      <alignment horizontal="center" vertical="center"/>
    </xf>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0" borderId="29" xfId="0" applyFill="1" applyBorder="1" applyAlignment="1">
      <alignment horizontal="center" vertical="center"/>
    </xf>
    <xf numFmtId="0" fontId="0" fillId="0" borderId="30" xfId="0" applyFill="1" applyBorder="1" applyAlignment="1">
      <alignment horizontal="center" vertical="center"/>
    </xf>
    <xf numFmtId="0" fontId="0" fillId="0" borderId="14" xfId="0" applyFill="1" applyBorder="1" applyAlignment="1">
      <alignment horizontal="center" vertical="center"/>
    </xf>
    <xf numFmtId="0" fontId="7" fillId="0" borderId="4" xfId="0" applyFont="1" applyBorder="1" applyAlignment="1">
      <alignment horizontal="left" vertical="center"/>
    </xf>
    <xf numFmtId="0" fontId="5" fillId="0" borderId="4" xfId="0" applyFont="1" applyBorder="1" applyAlignment="1">
      <alignment horizontal="left" vertical="center"/>
    </xf>
    <xf numFmtId="0" fontId="0" fillId="0" borderId="0" xfId="0" applyAlignment="1">
      <alignment horizontal="center" vertical="center"/>
    </xf>
    <xf numFmtId="0" fontId="28" fillId="0" borderId="0" xfId="0" applyFont="1" applyFill="1"/>
    <xf numFmtId="1" fontId="0" fillId="17" borderId="4" xfId="0" applyNumberFormat="1" applyFill="1" applyBorder="1" applyAlignment="1">
      <alignment horizontal="center" vertical="center"/>
    </xf>
    <xf numFmtId="0" fontId="0" fillId="21" borderId="4" xfId="0" applyFill="1" applyBorder="1" applyAlignment="1">
      <alignment horizontal="center" vertical="center"/>
    </xf>
    <xf numFmtId="173" fontId="0" fillId="21" borderId="4" xfId="0" applyNumberFormat="1" applyFill="1" applyBorder="1" applyAlignment="1">
      <alignment horizontal="center" vertical="center"/>
    </xf>
    <xf numFmtId="173" fontId="0" fillId="0" borderId="0" xfId="0" applyNumberFormat="1" applyAlignment="1">
      <alignment horizontal="center" vertical="center"/>
    </xf>
    <xf numFmtId="0" fontId="31" fillId="22" borderId="32" xfId="0" applyFont="1" applyFill="1" applyBorder="1" applyAlignment="1">
      <alignment horizontal="left" vertical="center" wrapText="1" readingOrder="1"/>
    </xf>
    <xf numFmtId="0" fontId="31" fillId="22" borderId="35" xfId="0" applyFont="1" applyFill="1" applyBorder="1" applyAlignment="1">
      <alignment horizontal="left" vertical="center" wrapText="1" readingOrder="1"/>
    </xf>
    <xf numFmtId="0" fontId="31" fillId="22" borderId="38" xfId="0" applyFont="1" applyFill="1" applyBorder="1" applyAlignment="1">
      <alignment horizontal="left" vertical="center" wrapText="1" readingOrder="1"/>
    </xf>
    <xf numFmtId="0" fontId="0" fillId="0" borderId="0" xfId="0" applyAlignment="1">
      <alignment horizontal="right"/>
    </xf>
    <xf numFmtId="167" fontId="0" fillId="0" borderId="0" xfId="0" applyNumberFormat="1" applyBorder="1"/>
    <xf numFmtId="0" fontId="0" fillId="10" borderId="4" xfId="0" applyFill="1" applyBorder="1" applyAlignment="1">
      <alignment horizontal="center" vertical="center"/>
    </xf>
    <xf numFmtId="0" fontId="0" fillId="0" borderId="0" xfId="0" applyAlignment="1">
      <alignment horizontal="center" vertical="center"/>
    </xf>
    <xf numFmtId="0" fontId="0" fillId="9" borderId="4" xfId="0" applyFill="1" applyBorder="1" applyAlignment="1">
      <alignment horizontal="center" vertical="center"/>
    </xf>
    <xf numFmtId="0" fontId="5" fillId="0" borderId="4" xfId="0" applyFont="1" applyBorder="1" applyAlignment="1">
      <alignment horizontal="left" vertical="center"/>
    </xf>
    <xf numFmtId="0" fontId="0" fillId="10" borderId="4" xfId="0" applyFill="1" applyBorder="1" applyAlignment="1">
      <alignment horizontal="center" vertical="center"/>
    </xf>
    <xf numFmtId="0" fontId="0" fillId="0" borderId="0" xfId="0" applyAlignment="1">
      <alignment horizontal="center" vertical="center"/>
    </xf>
    <xf numFmtId="0" fontId="0" fillId="9" borderId="4" xfId="0" applyFill="1" applyBorder="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left" vertical="center"/>
    </xf>
    <xf numFmtId="0" fontId="34" fillId="20" borderId="4" xfId="0" applyFont="1" applyFill="1" applyBorder="1" applyAlignment="1">
      <alignment horizontal="right" vertical="center"/>
    </xf>
    <xf numFmtId="0" fontId="13" fillId="6" borderId="4" xfId="0" applyFont="1" applyFill="1" applyBorder="1" applyAlignment="1">
      <alignment horizontal="right" vertical="center"/>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5" fillId="25" borderId="18" xfId="0" applyFont="1" applyFill="1" applyBorder="1" applyAlignment="1">
      <alignment horizontal="left" vertical="center"/>
    </xf>
    <xf numFmtId="0" fontId="5" fillId="2" borderId="18" xfId="0" applyFont="1" applyFill="1" applyBorder="1" applyAlignment="1">
      <alignment horizontal="left" vertical="center"/>
    </xf>
    <xf numFmtId="0" fontId="5" fillId="14" borderId="18" xfId="0" applyFont="1" applyFill="1" applyBorder="1" applyAlignment="1">
      <alignment horizontal="left" vertical="center"/>
    </xf>
    <xf numFmtId="165" fontId="2" fillId="4" borderId="9" xfId="1" applyNumberFormat="1" applyFont="1" applyFill="1" applyBorder="1"/>
    <xf numFmtId="0" fontId="0" fillId="10" borderId="4" xfId="0" applyFill="1" applyBorder="1" applyAlignment="1">
      <alignment horizontal="center" vertical="center"/>
    </xf>
    <xf numFmtId="0" fontId="0" fillId="9" borderId="4" xfId="0" applyFill="1" applyBorder="1" applyAlignment="1">
      <alignment horizontal="center" vertical="center"/>
    </xf>
    <xf numFmtId="0" fontId="0" fillId="0" borderId="4" xfId="0" applyBorder="1" applyAlignment="1">
      <alignment horizontal="center" vertical="center" wrapText="1"/>
    </xf>
    <xf numFmtId="0" fontId="0" fillId="10" borderId="4" xfId="0" applyFill="1" applyBorder="1" applyAlignment="1">
      <alignment horizontal="center" vertical="center"/>
    </xf>
    <xf numFmtId="0" fontId="0" fillId="9" borderId="4" xfId="0" applyFill="1" applyBorder="1" applyAlignment="1">
      <alignment horizontal="center" vertical="center"/>
    </xf>
    <xf numFmtId="0" fontId="5" fillId="0" borderId="4" xfId="0" applyFont="1" applyBorder="1" applyAlignment="1">
      <alignment horizontal="left" vertical="center"/>
    </xf>
    <xf numFmtId="0" fontId="0" fillId="9" borderId="4" xfId="0" applyFill="1" applyBorder="1" applyAlignment="1">
      <alignment horizontal="center" vertical="center"/>
    </xf>
    <xf numFmtId="0" fontId="0" fillId="0" borderId="0" xfId="0" applyAlignment="1">
      <alignment horizontal="center" vertical="center"/>
    </xf>
    <xf numFmtId="0" fontId="0" fillId="11"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36" fillId="0" borderId="4" xfId="0" applyFont="1" applyBorder="1"/>
    <xf numFmtId="0" fontId="36" fillId="0" borderId="0" xfId="0" applyFont="1"/>
    <xf numFmtId="0" fontId="17" fillId="3" borderId="4" xfId="5" applyFont="1" applyFill="1" applyBorder="1" applyAlignment="1">
      <alignment horizontal="center"/>
    </xf>
    <xf numFmtId="0" fontId="36" fillId="4" borderId="4" xfId="0" applyFont="1" applyFill="1" applyBorder="1"/>
    <xf numFmtId="0" fontId="17" fillId="4" borderId="4" xfId="5" applyFont="1" applyFill="1" applyBorder="1" applyAlignment="1">
      <alignment horizontal="center"/>
    </xf>
    <xf numFmtId="2" fontId="0" fillId="10" borderId="4" xfId="0" applyNumberFormat="1" applyFill="1" applyBorder="1" applyAlignment="1">
      <alignment horizontal="center" vertical="center" wrapText="1"/>
    </xf>
    <xf numFmtId="0" fontId="8" fillId="10" borderId="4" xfId="0" applyFont="1" applyFill="1" applyBorder="1" applyAlignment="1">
      <alignment horizontal="center" vertical="center"/>
    </xf>
    <xf numFmtId="1" fontId="8" fillId="10" borderId="4" xfId="0" applyNumberFormat="1" applyFont="1" applyFill="1" applyBorder="1" applyAlignment="1">
      <alignment horizontal="center" vertical="center"/>
    </xf>
    <xf numFmtId="0" fontId="12" fillId="0" borderId="0" xfId="0" applyFont="1" applyAlignment="1">
      <alignment horizontal="center" vertical="center"/>
    </xf>
    <xf numFmtId="3" fontId="6" fillId="0" borderId="10" xfId="0" applyNumberFormat="1" applyFont="1" applyBorder="1" applyAlignment="1">
      <alignment horizontal="center"/>
    </xf>
    <xf numFmtId="3" fontId="5" fillId="0" borderId="4" xfId="0" applyNumberFormat="1" applyFont="1" applyBorder="1"/>
    <xf numFmtId="3" fontId="3" fillId="0" borderId="9" xfId="0" applyNumberFormat="1" applyFont="1" applyBorder="1"/>
    <xf numFmtId="0" fontId="0" fillId="10" borderId="4" xfId="0" applyFill="1" applyBorder="1" applyAlignment="1">
      <alignment horizontal="center" vertical="center"/>
    </xf>
    <xf numFmtId="0" fontId="5" fillId="0" borderId="4" xfId="0" applyFont="1" applyBorder="1" applyAlignment="1">
      <alignment horizontal="left" vertical="center"/>
    </xf>
    <xf numFmtId="3" fontId="0" fillId="10" borderId="4" xfId="0" applyNumberFormat="1" applyFill="1" applyBorder="1" applyAlignment="1">
      <alignment horizontal="center" vertical="center"/>
    </xf>
    <xf numFmtId="3" fontId="0" fillId="13" borderId="0" xfId="0" applyNumberFormat="1" applyFill="1" applyAlignment="1">
      <alignment horizontal="center" vertical="center"/>
    </xf>
    <xf numFmtId="173" fontId="0" fillId="11" borderId="4" xfId="0" applyNumberFormat="1" applyFill="1" applyBorder="1" applyAlignment="1">
      <alignment horizontal="center" vertical="center"/>
    </xf>
    <xf numFmtId="0" fontId="0" fillId="27" borderId="4" xfId="0" applyFill="1" applyBorder="1" applyAlignment="1">
      <alignment horizontal="center" vertical="center"/>
    </xf>
    <xf numFmtId="0" fontId="0" fillId="0" borderId="0" xfId="0" applyAlignment="1"/>
    <xf numFmtId="0" fontId="0" fillId="2" borderId="4" xfId="0" applyFill="1" applyBorder="1" applyAlignment="1">
      <alignment horizontal="center" vertical="center"/>
    </xf>
    <xf numFmtId="0" fontId="0" fillId="6" borderId="4" xfId="0" applyFill="1" applyBorder="1"/>
    <xf numFmtId="3" fontId="0" fillId="10" borderId="12" xfId="0" applyNumberFormat="1" applyFill="1" applyBorder="1" applyAlignment="1">
      <alignment horizontal="center" vertical="center"/>
    </xf>
    <xf numFmtId="3" fontId="0" fillId="11" borderId="4" xfId="0" applyNumberFormat="1" applyFill="1" applyBorder="1" applyAlignment="1">
      <alignment horizontal="center" vertical="center"/>
    </xf>
    <xf numFmtId="9" fontId="0" fillId="0" borderId="4" xfId="1" applyFont="1" applyBorder="1"/>
    <xf numFmtId="0" fontId="5" fillId="0" borderId="4" xfId="0" applyFont="1" applyBorder="1" applyAlignment="1"/>
    <xf numFmtId="0" fontId="5" fillId="0" borderId="31" xfId="0" applyFont="1" applyBorder="1" applyAlignment="1">
      <alignment vertical="center"/>
    </xf>
    <xf numFmtId="168" fontId="13" fillId="0" borderId="1" xfId="2" applyNumberFormat="1" applyFont="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12" fillId="0" borderId="4" xfId="0" applyFont="1" applyBorder="1" applyAlignment="1">
      <alignment horizontal="left" vertical="top"/>
    </xf>
    <xf numFmtId="0" fontId="11" fillId="0" borderId="0" xfId="0" applyFont="1" applyAlignment="1">
      <alignment vertical="top"/>
    </xf>
    <xf numFmtId="0" fontId="13" fillId="0" borderId="4" xfId="0" applyFont="1" applyBorder="1" applyAlignment="1">
      <alignment horizontal="center" vertical="center"/>
    </xf>
    <xf numFmtId="0" fontId="0" fillId="6" borderId="4" xfId="0" applyFill="1" applyBorder="1" applyAlignment="1">
      <alignment horizontal="center" vertical="center"/>
    </xf>
    <xf numFmtId="0" fontId="0" fillId="0" borderId="43" xfId="0" applyBorder="1" applyAlignment="1">
      <alignment horizontal="center"/>
    </xf>
    <xf numFmtId="0" fontId="0" fillId="0" borderId="44" xfId="0" applyBorder="1" applyAlignment="1">
      <alignment horizontal="center"/>
    </xf>
    <xf numFmtId="0" fontId="37" fillId="0" borderId="42" xfId="0" applyFont="1" applyFill="1" applyBorder="1" applyAlignment="1">
      <alignment wrapText="1"/>
    </xf>
    <xf numFmtId="0" fontId="37" fillId="0" borderId="41" xfId="0" applyFont="1" applyFill="1" applyBorder="1"/>
    <xf numFmtId="0" fontId="0" fillId="0" borderId="0" xfId="0" applyFill="1"/>
    <xf numFmtId="0" fontId="0" fillId="0" borderId="4" xfId="0" applyFill="1" applyBorder="1" applyAlignment="1">
      <alignment horizontal="center"/>
    </xf>
    <xf numFmtId="0" fontId="0" fillId="0" borderId="4" xfId="0" applyFill="1" applyBorder="1" applyAlignment="1">
      <alignment horizontal="center" wrapText="1"/>
    </xf>
    <xf numFmtId="0" fontId="0" fillId="0" borderId="4" xfId="0" applyFill="1" applyBorder="1"/>
    <xf numFmtId="0" fontId="0" fillId="0" borderId="4" xfId="0" applyFill="1" applyBorder="1" applyAlignment="1">
      <alignment wrapText="1"/>
    </xf>
    <xf numFmtId="0" fontId="0" fillId="0" borderId="10" xfId="0" applyFill="1" applyBorder="1"/>
    <xf numFmtId="0" fontId="37" fillId="0" borderId="4" xfId="0" applyFont="1" applyFill="1" applyBorder="1"/>
    <xf numFmtId="0" fontId="37" fillId="0" borderId="48" xfId="0" applyFont="1" applyFill="1" applyBorder="1" applyAlignment="1">
      <alignment wrapText="1"/>
    </xf>
    <xf numFmtId="0" fontId="0" fillId="0" borderId="49" xfId="0" applyFill="1" applyBorder="1"/>
    <xf numFmtId="0" fontId="37" fillId="0" borderId="50" xfId="0" applyFont="1" applyFill="1" applyBorder="1" applyAlignment="1">
      <alignment wrapText="1"/>
    </xf>
    <xf numFmtId="0" fontId="37" fillId="0" borderId="51" xfId="0" applyFont="1" applyFill="1" applyBorder="1" applyAlignment="1">
      <alignment wrapText="1"/>
    </xf>
    <xf numFmtId="0" fontId="0" fillId="0" borderId="52" xfId="0" applyFill="1" applyBorder="1"/>
    <xf numFmtId="0" fontId="0" fillId="0" borderId="53" xfId="0" applyFill="1" applyBorder="1"/>
    <xf numFmtId="0" fontId="0" fillId="0" borderId="54" xfId="0" applyFill="1" applyBorder="1"/>
    <xf numFmtId="0" fontId="0" fillId="0" borderId="55" xfId="0" applyFill="1" applyBorder="1"/>
    <xf numFmtId="0" fontId="37" fillId="0" borderId="48" xfId="0"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49" xfId="0" applyFont="1" applyFill="1" applyBorder="1" applyAlignment="1">
      <alignment horizontal="center" vertical="center" wrapText="1"/>
    </xf>
    <xf numFmtId="0" fontId="37" fillId="6" borderId="4" xfId="0" applyFont="1" applyFill="1" applyBorder="1" applyAlignment="1">
      <alignment horizontal="center" vertical="center" wrapText="1"/>
    </xf>
    <xf numFmtId="0" fontId="0" fillId="6" borderId="54" xfId="0" applyFill="1" applyBorder="1"/>
    <xf numFmtId="0" fontId="0" fillId="6" borderId="4" xfId="0" applyFill="1" applyBorder="1" applyAlignment="1">
      <alignment horizontal="center" vertical="center"/>
    </xf>
    <xf numFmtId="0" fontId="0" fillId="29" borderId="4" xfId="0" applyFill="1" applyBorder="1" applyAlignment="1">
      <alignment horizontal="center" vertical="center"/>
    </xf>
    <xf numFmtId="0" fontId="13" fillId="6" borderId="4" xfId="0" applyFont="1" applyFill="1" applyBorder="1" applyAlignment="1">
      <alignment horizontal="center" vertical="center"/>
    </xf>
    <xf numFmtId="0" fontId="13" fillId="29" borderId="4" xfId="0" applyFont="1" applyFill="1" applyBorder="1" applyAlignment="1">
      <alignment horizontal="center" vertical="center"/>
    </xf>
    <xf numFmtId="0" fontId="0" fillId="29" borderId="4" xfId="0" applyFill="1" applyBorder="1" applyAlignment="1">
      <alignment horizontal="center" vertical="center" wrapText="1"/>
    </xf>
    <xf numFmtId="3" fontId="0" fillId="6" borderId="4" xfId="0" applyNumberFormat="1" applyFill="1" applyBorder="1" applyAlignment="1">
      <alignment horizontal="center" vertical="center"/>
    </xf>
    <xf numFmtId="0" fontId="0" fillId="6" borderId="4" xfId="0" applyFill="1" applyBorder="1" applyAlignment="1">
      <alignment vertical="center" wrapText="1"/>
    </xf>
    <xf numFmtId="170" fontId="0" fillId="6" borderId="4" xfId="0" applyNumberFormat="1" applyFill="1" applyBorder="1" applyAlignment="1">
      <alignment horizontal="center" vertical="center"/>
    </xf>
    <xf numFmtId="1" fontId="0" fillId="6" borderId="4" xfId="0" applyNumberFormat="1" applyFill="1" applyBorder="1" applyAlignment="1">
      <alignment horizontal="center" vertical="center"/>
    </xf>
    <xf numFmtId="0" fontId="0" fillId="6" borderId="4" xfId="0" applyFill="1" applyBorder="1" applyAlignment="1">
      <alignment horizontal="center" vertical="center" wrapText="1"/>
    </xf>
    <xf numFmtId="3" fontId="0" fillId="13" borderId="4" xfId="0" applyNumberFormat="1" applyFill="1" applyBorder="1" applyAlignment="1">
      <alignment vertical="center"/>
    </xf>
    <xf numFmtId="0" fontId="0" fillId="6" borderId="4" xfId="0" applyFill="1" applyBorder="1" applyAlignment="1">
      <alignment horizontal="center" vertical="center" wrapText="1"/>
    </xf>
    <xf numFmtId="1" fontId="0" fillId="13" borderId="4" xfId="0" applyNumberFormat="1" applyFill="1" applyBorder="1" applyAlignment="1">
      <alignment vertical="center"/>
    </xf>
    <xf numFmtId="0" fontId="0" fillId="6" borderId="4" xfId="0" applyFill="1" applyBorder="1" applyAlignment="1">
      <alignment horizontal="center" vertical="center"/>
    </xf>
    <xf numFmtId="0" fontId="0" fillId="6" borderId="4" xfId="0" applyFill="1" applyBorder="1" applyAlignment="1">
      <alignment horizontal="center" vertical="center" wrapText="1"/>
    </xf>
    <xf numFmtId="0" fontId="0" fillId="10" borderId="4" xfId="0" applyFill="1" applyBorder="1" applyAlignment="1">
      <alignment horizontal="center" vertical="center"/>
    </xf>
    <xf numFmtId="0" fontId="0" fillId="0" borderId="4" xfId="0" applyBorder="1" applyAlignment="1">
      <alignment vertical="center"/>
    </xf>
    <xf numFmtId="0" fontId="8" fillId="0" borderId="0" xfId="0" applyFont="1" applyAlignment="1">
      <alignment vertical="center"/>
    </xf>
    <xf numFmtId="164" fontId="0" fillId="0" borderId="4" xfId="0" applyNumberFormat="1" applyBorder="1" applyAlignment="1">
      <alignment vertical="center"/>
    </xf>
    <xf numFmtId="164" fontId="0" fillId="0" borderId="4" xfId="0" applyNumberFormat="1" applyFill="1" applyBorder="1" applyAlignment="1">
      <alignment vertical="center"/>
    </xf>
    <xf numFmtId="0" fontId="24" fillId="0" borderId="0" xfId="6" applyAlignment="1"/>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9" borderId="4" xfId="0" applyFont="1" applyFill="1" applyBorder="1" applyAlignment="1">
      <alignment horizontal="center" vertical="center" wrapText="1"/>
    </xf>
    <xf numFmtId="3" fontId="0" fillId="10" borderId="4" xfId="0" applyNumberFormat="1" applyFill="1" applyBorder="1" applyAlignment="1">
      <alignment horizontal="center" vertical="center" wrapText="1"/>
    </xf>
    <xf numFmtId="0" fontId="11" fillId="29" borderId="0" xfId="0" applyFont="1" applyFill="1"/>
    <xf numFmtId="0" fontId="0" fillId="29" borderId="4" xfId="0" applyFill="1" applyBorder="1"/>
    <xf numFmtId="0" fontId="0" fillId="29" borderId="4" xfId="0" applyFill="1" applyBorder="1" applyAlignment="1">
      <alignment wrapText="1"/>
    </xf>
    <xf numFmtId="0" fontId="5" fillId="0" borderId="31" xfId="0" applyFont="1" applyBorder="1" applyAlignment="1"/>
    <xf numFmtId="0" fontId="5" fillId="0" borderId="15" xfId="0" applyFont="1" applyBorder="1" applyAlignment="1">
      <alignment vertical="center"/>
    </xf>
    <xf numFmtId="0" fontId="8" fillId="0" borderId="15" xfId="0" applyFont="1" applyBorder="1" applyAlignment="1">
      <alignment vertical="center"/>
    </xf>
    <xf numFmtId="0" fontId="12" fillId="0" borderId="4" xfId="0" applyFont="1" applyBorder="1" applyAlignment="1">
      <alignment horizontal="center" vertical="center" wrapText="1"/>
    </xf>
    <xf numFmtId="168" fontId="13" fillId="0" borderId="4" xfId="0" applyNumberFormat="1" applyFont="1" applyBorder="1" applyAlignment="1">
      <alignment horizontal="center" vertical="center"/>
    </xf>
    <xf numFmtId="0" fontId="13" fillId="0" borderId="4" xfId="0" applyNumberFormat="1" applyFont="1" applyBorder="1" applyAlignment="1">
      <alignment horizontal="center" vertical="center"/>
    </xf>
    <xf numFmtId="166" fontId="20" fillId="0" borderId="0" xfId="0" applyNumberFormat="1" applyFont="1" applyAlignment="1">
      <alignment vertical="justify"/>
    </xf>
    <xf numFmtId="43" fontId="21" fillId="0" borderId="0" xfId="0" applyNumberFormat="1" applyFont="1" applyAlignment="1">
      <alignment vertical="center"/>
    </xf>
    <xf numFmtId="43" fontId="13" fillId="4" borderId="4" xfId="2" applyFont="1" applyFill="1" applyBorder="1" applyAlignment="1">
      <alignment horizontal="center" vertical="center"/>
    </xf>
    <xf numFmtId="0" fontId="13" fillId="4" borderId="0" xfId="0" applyFont="1" applyFill="1" applyAlignment="1">
      <alignment horizontal="center" vertical="center"/>
    </xf>
    <xf numFmtId="0" fontId="13" fillId="0" borderId="0" xfId="0" applyFont="1" applyAlignment="1">
      <alignment vertical="center"/>
    </xf>
    <xf numFmtId="167" fontId="13" fillId="4" borderId="4" xfId="2" applyNumberFormat="1" applyFont="1" applyFill="1" applyBorder="1" applyAlignment="1">
      <alignment horizontal="center" vertical="center"/>
    </xf>
    <xf numFmtId="0" fontId="29" fillId="30" borderId="0" xfId="0" applyFont="1" applyFill="1"/>
    <xf numFmtId="0" fontId="28" fillId="30" borderId="0" xfId="0" applyFont="1" applyFill="1"/>
    <xf numFmtId="0" fontId="11" fillId="0" borderId="0" xfId="0" applyFont="1" applyFill="1"/>
    <xf numFmtId="0" fontId="11" fillId="30" borderId="0" xfId="0" applyFont="1" applyFill="1"/>
    <xf numFmtId="0" fontId="30" fillId="30" borderId="1" xfId="0" applyFont="1" applyFill="1" applyBorder="1"/>
    <xf numFmtId="0" fontId="28" fillId="30" borderId="4" xfId="0" applyFont="1" applyFill="1" applyBorder="1"/>
    <xf numFmtId="0" fontId="30" fillId="30" borderId="1" xfId="0" applyFont="1" applyFill="1" applyBorder="1" applyAlignment="1">
      <alignment horizontal="left"/>
    </xf>
    <xf numFmtId="164" fontId="28" fillId="30" borderId="1" xfId="0" applyNumberFormat="1" applyFont="1" applyFill="1" applyBorder="1" applyAlignment="1">
      <alignment horizontal="right" vertical="center"/>
    </xf>
    <xf numFmtId="164" fontId="28" fillId="30" borderId="1" xfId="2" applyNumberFormat="1" applyFont="1" applyFill="1" applyBorder="1" applyAlignment="1">
      <alignment horizontal="right" vertical="center"/>
    </xf>
    <xf numFmtId="165" fontId="28" fillId="30" borderId="4" xfId="0" applyNumberFormat="1" applyFont="1" applyFill="1" applyBorder="1"/>
    <xf numFmtId="0" fontId="30" fillId="30" borderId="20" xfId="0" applyFont="1" applyFill="1" applyBorder="1" applyAlignment="1">
      <alignment horizontal="left"/>
    </xf>
    <xf numFmtId="0" fontId="30" fillId="30" borderId="4" xfId="0" applyFont="1" applyFill="1" applyBorder="1" applyAlignment="1">
      <alignment horizontal="left"/>
    </xf>
    <xf numFmtId="164" fontId="28" fillId="30" borderId="0" xfId="0" applyNumberFormat="1" applyFont="1" applyFill="1" applyAlignment="1">
      <alignment horizontal="right" vertical="center"/>
    </xf>
    <xf numFmtId="0" fontId="0" fillId="30" borderId="4" xfId="0" applyFill="1" applyBorder="1"/>
    <xf numFmtId="164" fontId="30" fillId="30" borderId="57" xfId="0" applyNumberFormat="1" applyFont="1" applyFill="1" applyBorder="1" applyAlignment="1">
      <alignment horizontal="right" vertical="center"/>
    </xf>
    <xf numFmtId="164" fontId="30" fillId="30" borderId="1" xfId="0" applyNumberFormat="1" applyFont="1" applyFill="1" applyBorder="1" applyAlignment="1">
      <alignment horizontal="right" vertical="center"/>
    </xf>
    <xf numFmtId="0" fontId="30" fillId="30" borderId="0" xfId="0" applyFont="1" applyFill="1"/>
    <xf numFmtId="0" fontId="30" fillId="30" borderId="5" xfId="0" applyFont="1" applyFill="1" applyBorder="1"/>
    <xf numFmtId="164" fontId="28" fillId="30" borderId="1" xfId="0" applyNumberFormat="1" applyFont="1" applyFill="1" applyBorder="1" applyAlignment="1">
      <alignment vertical="center"/>
    </xf>
    <xf numFmtId="166" fontId="28" fillId="30" borderId="5" xfId="2" applyNumberFormat="1" applyFont="1" applyFill="1" applyBorder="1"/>
    <xf numFmtId="0" fontId="30" fillId="30" borderId="3" xfId="0" applyFont="1" applyFill="1" applyBorder="1" applyAlignment="1">
      <alignment horizontal="left"/>
    </xf>
    <xf numFmtId="164" fontId="28" fillId="30" borderId="20" xfId="0" applyNumberFormat="1" applyFont="1" applyFill="1" applyBorder="1" applyAlignment="1">
      <alignment vertical="center"/>
    </xf>
    <xf numFmtId="164" fontId="30" fillId="30" borderId="4" xfId="0" applyNumberFormat="1" applyFont="1" applyFill="1" applyBorder="1" applyAlignment="1">
      <alignment vertical="center"/>
    </xf>
    <xf numFmtId="166" fontId="30" fillId="30" borderId="5" xfId="2" applyNumberFormat="1" applyFont="1" applyFill="1" applyBorder="1"/>
    <xf numFmtId="0" fontId="29" fillId="31" borderId="0" xfId="0" applyFont="1" applyFill="1"/>
    <xf numFmtId="0" fontId="28" fillId="31" borderId="0" xfId="0" applyFont="1" applyFill="1"/>
    <xf numFmtId="0" fontId="11" fillId="31" borderId="0" xfId="0" applyFont="1" applyFill="1"/>
    <xf numFmtId="0" fontId="30" fillId="31" borderId="1" xfId="0" applyFont="1" applyFill="1" applyBorder="1"/>
    <xf numFmtId="0" fontId="28" fillId="31" borderId="4" xfId="0" applyFont="1" applyFill="1" applyBorder="1"/>
    <xf numFmtId="0" fontId="30" fillId="31" borderId="1" xfId="0" applyFont="1" applyFill="1" applyBorder="1" applyAlignment="1">
      <alignment horizontal="left"/>
    </xf>
    <xf numFmtId="164" fontId="28" fillId="31" borderId="1" xfId="0" applyNumberFormat="1" applyFont="1" applyFill="1" applyBorder="1" applyAlignment="1">
      <alignment horizontal="right" vertical="center"/>
    </xf>
    <xf numFmtId="164" fontId="28" fillId="31" borderId="1" xfId="2" applyNumberFormat="1" applyFont="1" applyFill="1" applyBorder="1" applyAlignment="1">
      <alignment horizontal="right" vertical="center"/>
    </xf>
    <xf numFmtId="9" fontId="28" fillId="31" borderId="4" xfId="1" applyFont="1" applyFill="1" applyBorder="1"/>
    <xf numFmtId="0" fontId="30" fillId="31" borderId="20" xfId="0" applyFont="1" applyFill="1" applyBorder="1" applyAlignment="1">
      <alignment horizontal="left"/>
    </xf>
    <xf numFmtId="0" fontId="30" fillId="31" borderId="4" xfId="0" applyFont="1" applyFill="1" applyBorder="1" applyAlignment="1">
      <alignment horizontal="left"/>
    </xf>
    <xf numFmtId="164" fontId="28" fillId="31" borderId="0" xfId="0" applyNumberFormat="1" applyFont="1" applyFill="1" applyAlignment="1">
      <alignment horizontal="right" vertical="center"/>
    </xf>
    <xf numFmtId="0" fontId="0" fillId="31" borderId="4" xfId="0" applyFill="1" applyBorder="1"/>
    <xf numFmtId="164" fontId="30" fillId="31" borderId="57" xfId="0" applyNumberFormat="1" applyFont="1" applyFill="1" applyBorder="1" applyAlignment="1">
      <alignment horizontal="right" vertical="center"/>
    </xf>
    <xf numFmtId="164" fontId="30" fillId="31" borderId="1" xfId="0" applyNumberFormat="1" applyFont="1" applyFill="1" applyBorder="1" applyAlignment="1">
      <alignment horizontal="right" vertical="center"/>
    </xf>
    <xf numFmtId="0" fontId="30" fillId="31" borderId="0" xfId="0" applyFont="1" applyFill="1"/>
    <xf numFmtId="0" fontId="30" fillId="31" borderId="5" xfId="0" applyFont="1" applyFill="1" applyBorder="1"/>
    <xf numFmtId="166" fontId="28" fillId="31" borderId="5" xfId="2" applyNumberFormat="1" applyFont="1" applyFill="1" applyBorder="1" applyAlignment="1">
      <alignment horizontal="right" vertical="center"/>
    </xf>
    <xf numFmtId="165" fontId="28" fillId="31" borderId="4" xfId="0" applyNumberFormat="1" applyFont="1" applyFill="1" applyBorder="1"/>
    <xf numFmtId="0" fontId="30" fillId="31" borderId="3" xfId="0" applyFont="1" applyFill="1" applyBorder="1" applyAlignment="1">
      <alignment horizontal="left"/>
    </xf>
    <xf numFmtId="164" fontId="28" fillId="31" borderId="20" xfId="0" applyNumberFormat="1" applyFont="1" applyFill="1" applyBorder="1" applyAlignment="1">
      <alignment horizontal="right" vertical="center"/>
    </xf>
    <xf numFmtId="164" fontId="30" fillId="31" borderId="4" xfId="0" applyNumberFormat="1" applyFont="1" applyFill="1" applyBorder="1" applyAlignment="1">
      <alignment horizontal="right" vertical="center"/>
    </xf>
    <xf numFmtId="166" fontId="30" fillId="31" borderId="5" xfId="2" applyNumberFormat="1" applyFont="1" applyFill="1" applyBorder="1" applyAlignment="1">
      <alignment horizontal="right" vertical="center"/>
    </xf>
    <xf numFmtId="0" fontId="29" fillId="25" borderId="0" xfId="0" applyFont="1" applyFill="1"/>
    <xf numFmtId="0" fontId="28" fillId="25" borderId="0" xfId="0" applyFont="1" applyFill="1"/>
    <xf numFmtId="0" fontId="11" fillId="25" borderId="0" xfId="0" applyFont="1" applyFill="1"/>
    <xf numFmtId="0" fontId="30" fillId="25" borderId="1" xfId="0" applyFont="1" applyFill="1" applyBorder="1"/>
    <xf numFmtId="0" fontId="28" fillId="25" borderId="4" xfId="0" applyFont="1" applyFill="1" applyBorder="1"/>
    <xf numFmtId="0" fontId="30" fillId="25" borderId="1" xfId="0" applyFont="1" applyFill="1" applyBorder="1" applyAlignment="1">
      <alignment horizontal="left"/>
    </xf>
    <xf numFmtId="164" fontId="28" fillId="25" borderId="1" xfId="0" applyNumberFormat="1" applyFont="1" applyFill="1" applyBorder="1" applyAlignment="1">
      <alignment horizontal="right" vertical="center"/>
    </xf>
    <xf numFmtId="164" fontId="28" fillId="25" borderId="1" xfId="2" applyNumberFormat="1" applyFont="1" applyFill="1" applyBorder="1" applyAlignment="1">
      <alignment horizontal="right" vertical="center"/>
    </xf>
    <xf numFmtId="165" fontId="28" fillId="25" borderId="4" xfId="0" applyNumberFormat="1" applyFont="1" applyFill="1" applyBorder="1"/>
    <xf numFmtId="0" fontId="0" fillId="25" borderId="4" xfId="0" applyFill="1" applyBorder="1"/>
    <xf numFmtId="164" fontId="30" fillId="25" borderId="57" xfId="0" applyNumberFormat="1" applyFont="1" applyFill="1" applyBorder="1" applyAlignment="1">
      <alignment horizontal="right" vertical="center"/>
    </xf>
    <xf numFmtId="164" fontId="30" fillId="25" borderId="1" xfId="0" applyNumberFormat="1" applyFont="1" applyFill="1" applyBorder="1" applyAlignment="1">
      <alignment horizontal="right" vertical="center"/>
    </xf>
    <xf numFmtId="0" fontId="30" fillId="25" borderId="0" xfId="0" applyFont="1" applyFill="1"/>
    <xf numFmtId="0" fontId="30" fillId="25" borderId="5" xfId="0" applyFont="1" applyFill="1" applyBorder="1"/>
    <xf numFmtId="164" fontId="28" fillId="25" borderId="1" xfId="0" applyNumberFormat="1" applyFont="1" applyFill="1" applyBorder="1" applyAlignment="1">
      <alignment horizontal="center" vertical="center"/>
    </xf>
    <xf numFmtId="166" fontId="28" fillId="25" borderId="5" xfId="2" applyNumberFormat="1" applyFont="1" applyFill="1" applyBorder="1" applyAlignment="1">
      <alignment horizontal="center" vertical="center"/>
    </xf>
    <xf numFmtId="164" fontId="30" fillId="25" borderId="4" xfId="0" applyNumberFormat="1" applyFont="1" applyFill="1" applyBorder="1" applyAlignment="1">
      <alignment horizontal="center" vertical="center"/>
    </xf>
    <xf numFmtId="166" fontId="30" fillId="25" borderId="5" xfId="2" applyNumberFormat="1" applyFont="1" applyFill="1" applyBorder="1" applyAlignment="1">
      <alignment horizontal="center" vertical="center"/>
    </xf>
    <xf numFmtId="0" fontId="5" fillId="0" borderId="4" xfId="0" applyFont="1" applyBorder="1" applyAlignment="1">
      <alignment horizontal="left" vertical="center"/>
    </xf>
    <xf numFmtId="0" fontId="15" fillId="0" borderId="4" xfId="5" applyFont="1" applyBorder="1"/>
    <xf numFmtId="171" fontId="15" fillId="0" borderId="4" xfId="5" applyNumberFormat="1" applyFont="1" applyBorder="1"/>
    <xf numFmtId="171" fontId="0" fillId="10" borderId="4" xfId="0" applyNumberFormat="1" applyFill="1" applyBorder="1" applyAlignment="1">
      <alignment horizontal="center" vertical="center" wrapText="1"/>
    </xf>
    <xf numFmtId="171" fontId="0" fillId="10" borderId="4" xfId="0" applyNumberFormat="1" applyFill="1" applyBorder="1" applyAlignment="1">
      <alignment horizontal="center" vertical="center"/>
    </xf>
    <xf numFmtId="0" fontId="24" fillId="0" borderId="0" xfId="6" applyBorder="1" applyAlignment="1">
      <alignment horizontal="center" vertical="center"/>
    </xf>
    <xf numFmtId="0" fontId="13" fillId="0" borderId="0" xfId="0" applyFont="1" applyBorder="1" applyAlignment="1">
      <alignment horizontal="center" vertical="center"/>
    </xf>
    <xf numFmtId="164" fontId="13" fillId="0" borderId="0" xfId="0" applyNumberFormat="1" applyFont="1" applyBorder="1" applyAlignment="1">
      <alignment horizontal="center" vertical="center"/>
    </xf>
    <xf numFmtId="166" fontId="13" fillId="0" borderId="0" xfId="2" applyNumberFormat="1" applyFont="1" applyBorder="1" applyAlignment="1">
      <alignment horizontal="center" vertical="center"/>
    </xf>
    <xf numFmtId="43" fontId="13" fillId="0" borderId="0" xfId="2" applyFont="1" applyBorder="1" applyAlignment="1">
      <alignment horizontal="center" vertical="center"/>
    </xf>
    <xf numFmtId="1" fontId="13" fillId="0" borderId="0" xfId="0" applyNumberFormat="1" applyFont="1" applyBorder="1" applyAlignment="1">
      <alignment horizontal="center" vertical="center"/>
    </xf>
    <xf numFmtId="0" fontId="3" fillId="0" borderId="4" xfId="0" applyFont="1" applyBorder="1" applyAlignment="1"/>
    <xf numFmtId="0" fontId="0" fillId="0" borderId="4" xfId="0" applyFont="1" applyBorder="1"/>
    <xf numFmtId="0" fontId="24" fillId="29" borderId="4" xfId="6" applyFill="1" applyBorder="1" applyAlignment="1">
      <alignment horizontal="center" vertical="center"/>
    </xf>
    <xf numFmtId="0" fontId="24" fillId="4" borderId="4" xfId="6" applyFill="1" applyBorder="1" applyAlignment="1">
      <alignment horizontal="center" vertical="center"/>
    </xf>
    <xf numFmtId="0" fontId="24" fillId="8" borderId="4" xfId="6" applyFill="1" applyBorder="1" applyAlignment="1">
      <alignment horizontal="center" vertical="center"/>
    </xf>
    <xf numFmtId="165" fontId="40" fillId="5" borderId="4" xfId="1" applyNumberFormat="1" applyFont="1" applyFill="1" applyBorder="1"/>
    <xf numFmtId="0" fontId="5" fillId="0" borderId="4" xfId="0" applyFont="1" applyBorder="1" applyAlignment="1">
      <alignment horizontal="left" vertical="center"/>
    </xf>
    <xf numFmtId="0" fontId="0" fillId="33" borderId="4" xfId="0" applyFill="1" applyBorder="1"/>
    <xf numFmtId="0" fontId="41" fillId="0" borderId="4" xfId="0" applyFont="1" applyBorder="1"/>
    <xf numFmtId="0" fontId="0" fillId="34" borderId="4" xfId="0" applyFill="1" applyBorder="1"/>
    <xf numFmtId="0" fontId="11" fillId="0" borderId="4" xfId="0" applyFont="1" applyBorder="1"/>
    <xf numFmtId="1" fontId="11" fillId="0" borderId="4" xfId="0" applyNumberFormat="1" applyFont="1" applyBorder="1"/>
    <xf numFmtId="0" fontId="0" fillId="0" borderId="0" xfId="0" applyBorder="1" applyAlignment="1"/>
    <xf numFmtId="0" fontId="0" fillId="0" borderId="0" xfId="0" applyAlignment="1">
      <alignment horizontal="left" wrapText="1"/>
    </xf>
    <xf numFmtId="0" fontId="42" fillId="0" borderId="58" xfId="0" applyFont="1" applyBorder="1" applyAlignment="1">
      <alignment horizontal="center" vertical="center" textRotation="255" wrapText="1"/>
    </xf>
    <xf numFmtId="0" fontId="42" fillId="0" borderId="58" xfId="0" applyFont="1" applyBorder="1" applyAlignment="1">
      <alignment horizontal="center" vertical="top" textRotation="255"/>
    </xf>
    <xf numFmtId="0" fontId="0" fillId="0" borderId="58" xfId="0" applyFont="1" applyBorder="1" applyAlignment="1">
      <alignment vertical="center" textRotation="255"/>
    </xf>
    <xf numFmtId="0" fontId="0" fillId="35" borderId="58" xfId="0" applyFill="1" applyBorder="1"/>
    <xf numFmtId="0" fontId="0" fillId="36" borderId="58" xfId="0" applyFill="1" applyBorder="1" applyAlignment="1"/>
    <xf numFmtId="0" fontId="11" fillId="0" borderId="4" xfId="0" applyFont="1" applyBorder="1" applyAlignment="1">
      <alignment horizontal="left" wrapText="1"/>
    </xf>
    <xf numFmtId="49" fontId="11" fillId="0" borderId="4" xfId="0" applyNumberFormat="1" applyFont="1" applyBorder="1" applyAlignment="1">
      <alignment horizontal="left" wrapText="1"/>
    </xf>
    <xf numFmtId="0" fontId="0" fillId="29" borderId="4" xfId="0" applyFill="1" applyBorder="1" applyAlignment="1">
      <alignment horizontal="center" vertical="center"/>
    </xf>
    <xf numFmtId="0" fontId="0" fillId="6" borderId="4" xfId="0" applyFill="1" applyBorder="1" applyAlignment="1">
      <alignment horizontal="center" vertical="center"/>
    </xf>
    <xf numFmtId="0" fontId="0" fillId="6" borderId="4" xfId="0" applyFill="1" applyBorder="1" applyAlignment="1">
      <alignment horizontal="center" vertical="center" wrapText="1"/>
    </xf>
    <xf numFmtId="0" fontId="0" fillId="11"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0" fillId="6" borderId="4" xfId="0" applyFill="1" applyBorder="1" applyAlignment="1">
      <alignment horizontal="center" vertical="center" wrapText="1"/>
    </xf>
    <xf numFmtId="0" fontId="24" fillId="0" borderId="0" xfId="6" applyAlignment="1">
      <alignment horizontal="center"/>
    </xf>
    <xf numFmtId="0" fontId="5" fillId="0" borderId="4" xfId="0" applyFont="1" applyBorder="1" applyAlignment="1">
      <alignment horizontal="center" vertical="center"/>
    </xf>
    <xf numFmtId="0" fontId="0" fillId="8" borderId="4" xfId="0" applyFill="1" applyBorder="1" applyAlignment="1">
      <alignment horizontal="center" vertical="center"/>
    </xf>
    <xf numFmtId="0" fontId="0" fillId="29" borderId="4" xfId="0" applyFill="1" applyBorder="1" applyAlignment="1">
      <alignment horizontal="center" vertical="center"/>
    </xf>
    <xf numFmtId="0" fontId="0" fillId="4" borderId="4" xfId="0" applyFill="1" applyBorder="1" applyAlignment="1">
      <alignment horizontal="center" vertical="center"/>
    </xf>
    <xf numFmtId="0" fontId="24" fillId="0" borderId="7" xfId="6" applyBorder="1" applyAlignment="1">
      <alignment horizont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12" fillId="0" borderId="4" xfId="0" applyFont="1" applyBorder="1" applyAlignment="1">
      <alignment horizontal="center" vertical="center"/>
    </xf>
    <xf numFmtId="0" fontId="0" fillId="10" borderId="4" xfId="0" applyFill="1" applyBorder="1" applyAlignment="1">
      <alignment horizontal="center" vertical="center"/>
    </xf>
    <xf numFmtId="0" fontId="0" fillId="9" borderId="4" xfId="0" applyFill="1" applyBorder="1" applyAlignment="1">
      <alignment horizontal="center" vertical="center"/>
    </xf>
    <xf numFmtId="0" fontId="24" fillId="0" borderId="0" xfId="6" applyBorder="1" applyAlignment="1">
      <alignment horizontal="center" vertical="center"/>
    </xf>
    <xf numFmtId="0" fontId="24" fillId="0" borderId="0" xfId="6" applyBorder="1" applyAlignment="1">
      <alignment horizontal="center"/>
    </xf>
    <xf numFmtId="0" fontId="5" fillId="0" borderId="4" xfId="0" applyFont="1" applyBorder="1" applyAlignment="1">
      <alignment horizontal="left" vertical="center"/>
    </xf>
    <xf numFmtId="0" fontId="43" fillId="0" borderId="4" xfId="0" applyFont="1" applyBorder="1" applyAlignment="1">
      <alignment horizontal="center" vertical="center"/>
    </xf>
    <xf numFmtId="0" fontId="0" fillId="4" borderId="4" xfId="0" applyFill="1" applyBorder="1"/>
    <xf numFmtId="0" fontId="0" fillId="8" borderId="4" xfId="0" applyFill="1" applyBorder="1"/>
    <xf numFmtId="0" fontId="20" fillId="4" borderId="4" xfId="0" applyFont="1" applyFill="1" applyBorder="1" applyAlignment="1">
      <alignment horizontal="center" vertical="center"/>
    </xf>
    <xf numFmtId="0" fontId="34" fillId="20" borderId="4" xfId="0" applyFont="1" applyFill="1" applyBorder="1" applyAlignment="1">
      <alignment horizontal="center" vertical="center"/>
    </xf>
    <xf numFmtId="0" fontId="24" fillId="0" borderId="4" xfId="6" applyBorder="1" applyAlignment="1">
      <alignment horizontal="center" vertical="center"/>
    </xf>
    <xf numFmtId="0" fontId="20" fillId="29" borderId="4" xfId="0" applyFont="1" applyFill="1" applyBorder="1" applyAlignment="1">
      <alignment horizontal="center" vertical="center"/>
    </xf>
    <xf numFmtId="0" fontId="0" fillId="0" borderId="10" xfId="0" applyBorder="1"/>
    <xf numFmtId="0" fontId="20" fillId="19" borderId="4" xfId="0" applyFont="1" applyFill="1" applyBorder="1" applyAlignment="1">
      <alignment horizontal="center" vertical="center"/>
    </xf>
    <xf numFmtId="0" fontId="0" fillId="19" borderId="4" xfId="0" applyFill="1" applyBorder="1" applyAlignment="1">
      <alignment horizontal="center" vertical="center"/>
    </xf>
    <xf numFmtId="0" fontId="13" fillId="0" borderId="57" xfId="0" applyFont="1" applyBorder="1" applyAlignment="1">
      <alignment horizontal="center" vertical="center"/>
    </xf>
    <xf numFmtId="0" fontId="12" fillId="0" borderId="20" xfId="0" applyFont="1" applyBorder="1" applyAlignment="1">
      <alignment horizontal="center" vertical="center" wrapText="1"/>
    </xf>
    <xf numFmtId="0" fontId="3" fillId="29" borderId="4" xfId="0" applyFont="1" applyFill="1" applyBorder="1" applyAlignment="1">
      <alignment horizontal="center" vertical="center"/>
    </xf>
    <xf numFmtId="0" fontId="3" fillId="0" borderId="4" xfId="0" applyFont="1" applyBorder="1" applyAlignment="1">
      <alignment vertical="center"/>
    </xf>
    <xf numFmtId="0" fontId="3" fillId="0" borderId="4" xfId="0" applyFont="1" applyBorder="1" applyAlignment="1">
      <alignment horizontal="center" vertical="center"/>
    </xf>
    <xf numFmtId="0" fontId="45" fillId="0" borderId="4" xfId="0" applyFont="1" applyBorder="1" applyAlignment="1">
      <alignment vertical="center"/>
    </xf>
    <xf numFmtId="0" fontId="45" fillId="0" borderId="4" xfId="0" applyFont="1" applyFill="1" applyBorder="1" applyAlignment="1">
      <alignment horizontal="center" vertical="center"/>
    </xf>
    <xf numFmtId="0" fontId="45" fillId="0" borderId="4" xfId="0" applyFont="1" applyFill="1" applyBorder="1" applyAlignment="1">
      <alignment vertical="center"/>
    </xf>
    <xf numFmtId="0" fontId="45" fillId="4" borderId="4" xfId="0" applyFont="1" applyFill="1" applyBorder="1" applyAlignment="1">
      <alignment horizontal="center" vertical="center"/>
    </xf>
    <xf numFmtId="0" fontId="45" fillId="29" borderId="4" xfId="0" applyFont="1" applyFill="1" applyBorder="1" applyAlignment="1">
      <alignment horizontal="center" vertical="center"/>
    </xf>
    <xf numFmtId="0" fontId="45" fillId="19" borderId="4" xfId="0" applyFont="1" applyFill="1" applyBorder="1" applyAlignment="1">
      <alignment horizontal="center" vertical="center"/>
    </xf>
    <xf numFmtId="0" fontId="45" fillId="0" borderId="4" xfId="0" applyFont="1" applyFill="1" applyBorder="1" applyAlignment="1">
      <alignment horizontal="left" vertical="center"/>
    </xf>
    <xf numFmtId="0" fontId="0" fillId="0" borderId="4" xfId="0" applyBorder="1" applyAlignment="1">
      <alignment horizontal="center" vertical="center"/>
    </xf>
    <xf numFmtId="0" fontId="24" fillId="0" borderId="0" xfId="6" applyAlignment="1">
      <alignment horizontal="center"/>
    </xf>
    <xf numFmtId="0" fontId="0" fillId="29" borderId="4" xfId="0" applyFill="1"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6" borderId="4" xfId="0" applyFill="1" applyBorder="1" applyAlignment="1">
      <alignment horizontal="center" vertical="center" wrapText="1"/>
    </xf>
    <xf numFmtId="0" fontId="0" fillId="10" borderId="4" xfId="0" applyFill="1" applyBorder="1" applyAlignment="1">
      <alignment horizontal="center" vertical="center"/>
    </xf>
    <xf numFmtId="0" fontId="0" fillId="0" borderId="4" xfId="0" applyBorder="1" applyAlignment="1">
      <alignment horizontal="center" vertical="center"/>
    </xf>
    <xf numFmtId="0" fontId="24" fillId="0" borderId="0" xfId="6" applyAlignment="1">
      <alignment horizontal="center"/>
    </xf>
    <xf numFmtId="0" fontId="24" fillId="0" borderId="4" xfId="6" applyBorder="1" applyAlignment="1">
      <alignment horizontal="center" vertical="center"/>
    </xf>
    <xf numFmtId="0" fontId="43" fillId="0" borderId="4" xfId="0" applyFont="1" applyBorder="1" applyAlignment="1">
      <alignment horizontal="center" vertical="center"/>
    </xf>
    <xf numFmtId="0" fontId="12" fillId="0" borderId="4" xfId="0" applyFont="1" applyBorder="1" applyAlignment="1">
      <alignment horizontal="center" vertic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24" fillId="0" borderId="7" xfId="6" applyBorder="1" applyAlignment="1">
      <alignment horizont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167" fontId="13" fillId="0" borderId="4" xfId="2" applyNumberFormat="1" applyFont="1" applyBorder="1" applyAlignment="1">
      <alignment horizontal="center" vertical="center"/>
    </xf>
    <xf numFmtId="11" fontId="13" fillId="0" borderId="57" xfId="0" applyNumberFormat="1" applyFont="1" applyBorder="1" applyAlignment="1">
      <alignment horizontal="center" vertical="center"/>
    </xf>
    <xf numFmtId="0" fontId="0" fillId="0" borderId="4" xfId="0" applyBorder="1" applyAlignment="1">
      <alignment horizontal="center" vertical="center"/>
    </xf>
    <xf numFmtId="0" fontId="43" fillId="0" borderId="4" xfId="0" applyFont="1" applyBorder="1" applyAlignment="1">
      <alignment horizontal="center" vertical="center"/>
    </xf>
    <xf numFmtId="0" fontId="12" fillId="0" borderId="4" xfId="0" applyFont="1" applyBorder="1" applyAlignment="1">
      <alignment horizontal="center" vertic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24" fillId="0" borderId="7" xfId="6" applyBorder="1" applyAlignment="1">
      <alignment horizontal="center"/>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24" fillId="0" borderId="4" xfId="6" applyBorder="1" applyAlignment="1">
      <alignment horizontal="center" vertical="center"/>
    </xf>
    <xf numFmtId="0" fontId="15" fillId="2" borderId="4" xfId="5" applyFont="1" applyFill="1" applyBorder="1"/>
    <xf numFmtId="0" fontId="15" fillId="4" borderId="4" xfId="5" applyFont="1" applyFill="1" applyBorder="1"/>
    <xf numFmtId="168" fontId="36" fillId="4" borderId="4" xfId="0" applyNumberFormat="1" applyFont="1" applyFill="1" applyBorder="1"/>
    <xf numFmtId="0" fontId="17" fillId="3" borderId="4" xfId="5" applyFont="1" applyFill="1" applyBorder="1"/>
    <xf numFmtId="0" fontId="17" fillId="4" borderId="4" xfId="5" applyFont="1" applyFill="1" applyBorder="1"/>
    <xf numFmtId="1" fontId="17" fillId="4" borderId="4" xfId="5" applyNumberFormat="1" applyFont="1" applyFill="1" applyBorder="1"/>
    <xf numFmtId="0" fontId="0" fillId="0" borderId="4" xfId="0" applyBorder="1" applyAlignment="1">
      <alignment horizontal="center" vertical="center"/>
    </xf>
    <xf numFmtId="0" fontId="0" fillId="29" borderId="4" xfId="0" applyFill="1" applyBorder="1" applyAlignment="1">
      <alignment horizontal="center" vertical="center"/>
    </xf>
    <xf numFmtId="0" fontId="24" fillId="0" borderId="4" xfId="6" applyBorder="1" applyAlignment="1">
      <alignment horizontal="center" vertical="center"/>
    </xf>
    <xf numFmtId="0" fontId="43" fillId="0" borderId="4" xfId="0" applyFont="1" applyBorder="1" applyAlignment="1">
      <alignment horizontal="center" vertical="center"/>
    </xf>
    <xf numFmtId="0" fontId="12" fillId="0" borderId="4" xfId="0" applyFont="1" applyBorder="1" applyAlignment="1">
      <alignment horizontal="center" vertical="center"/>
    </xf>
    <xf numFmtId="0" fontId="24" fillId="0" borderId="7" xfId="6" applyBorder="1" applyAlignment="1">
      <alignment horizont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13" fillId="9" borderId="4" xfId="0" applyFont="1" applyFill="1" applyBorder="1" applyAlignment="1">
      <alignment horizontal="center" vertical="center" wrapText="1"/>
    </xf>
    <xf numFmtId="0" fontId="0" fillId="0" borderId="4" xfId="0" applyBorder="1" applyAlignment="1">
      <alignment horizontal="center" vertical="center"/>
    </xf>
    <xf numFmtId="0" fontId="0" fillId="29" borderId="4" xfId="0" applyFill="1" applyBorder="1" applyAlignment="1">
      <alignment horizontal="center" vertical="center"/>
    </xf>
    <xf numFmtId="0" fontId="24" fillId="0" borderId="4" xfId="6" applyBorder="1" applyAlignment="1">
      <alignment horizontal="center" vertical="center"/>
    </xf>
    <xf numFmtId="0" fontId="12" fillId="0" borderId="4" xfId="0" applyFont="1" applyBorder="1" applyAlignment="1">
      <alignment horizontal="center" vertical="center"/>
    </xf>
    <xf numFmtId="0" fontId="43" fillId="0" borderId="4" xfId="0" applyFont="1" applyBorder="1" applyAlignment="1">
      <alignment horizontal="center" vertic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0" fillId="6" borderId="4" xfId="0" applyFill="1" applyBorder="1" applyAlignment="1">
      <alignment horizontal="center" vertical="center"/>
    </xf>
    <xf numFmtId="0" fontId="24" fillId="0" borderId="7" xfId="6" applyBorder="1" applyAlignment="1">
      <alignment horizontal="center"/>
    </xf>
    <xf numFmtId="0" fontId="0" fillId="6" borderId="4" xfId="0" applyFill="1" applyBorder="1" applyAlignment="1">
      <alignment horizontal="center" vertical="center" wrapText="1"/>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1" fontId="0" fillId="6" borderId="14" xfId="0" applyNumberFormat="1" applyFill="1" applyBorder="1" applyAlignment="1">
      <alignment horizontal="center" vertical="center" wrapText="1"/>
    </xf>
    <xf numFmtId="0" fontId="0" fillId="30" borderId="4" xfId="0" applyFill="1" applyBorder="1" applyAlignment="1">
      <alignment horizontal="center" vertical="center"/>
    </xf>
    <xf numFmtId="0" fontId="0" fillId="0" borderId="4" xfId="0" applyBorder="1" applyAlignment="1">
      <alignment horizontal="left" vertical="center"/>
    </xf>
    <xf numFmtId="2" fontId="36" fillId="4" borderId="4" xfId="0" applyNumberFormat="1" applyFont="1" applyFill="1" applyBorder="1"/>
    <xf numFmtId="2" fontId="46" fillId="4" borderId="4" xfId="0" applyNumberFormat="1" applyFont="1" applyFill="1" applyBorder="1"/>
    <xf numFmtId="0" fontId="0" fillId="0" borderId="4" xfId="0" applyBorder="1" applyAlignment="1">
      <alignment horizont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0" fillId="0" borderId="4" xfId="0" applyBorder="1" applyAlignment="1">
      <alignment horizontal="center" vertical="center"/>
    </xf>
    <xf numFmtId="0" fontId="0" fillId="29" borderId="4" xfId="0" applyFill="1" applyBorder="1" applyAlignment="1">
      <alignment horizontal="center" vertical="center"/>
    </xf>
    <xf numFmtId="0" fontId="24" fillId="0" borderId="4" xfId="6" applyBorder="1" applyAlignment="1">
      <alignment horizontal="center" vertical="center"/>
    </xf>
    <xf numFmtId="0" fontId="12" fillId="0" borderId="4" xfId="0" applyFont="1" applyBorder="1" applyAlignment="1">
      <alignment horizontal="center" vertical="center"/>
    </xf>
    <xf numFmtId="0" fontId="43" fillId="0" borderId="4" xfId="0" applyFont="1" applyBorder="1" applyAlignment="1">
      <alignment horizontal="center" vertic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24" fillId="0" borderId="7" xfId="6" applyBorder="1" applyAlignment="1">
      <alignment horizontal="center"/>
    </xf>
    <xf numFmtId="0" fontId="0" fillId="0" borderId="4" xfId="0" applyBorder="1" applyAlignment="1">
      <alignment horizont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0" fillId="0" borderId="4" xfId="0" applyBorder="1" applyAlignment="1">
      <alignment horizontal="center" vertical="center"/>
    </xf>
    <xf numFmtId="0" fontId="0" fillId="29" borderId="4" xfId="0" applyFill="1" applyBorder="1" applyAlignment="1">
      <alignment horizontal="center" vertical="center"/>
    </xf>
    <xf numFmtId="0" fontId="24" fillId="0" borderId="4" xfId="6" applyBorder="1" applyAlignment="1">
      <alignment horizontal="center" vertical="center"/>
    </xf>
    <xf numFmtId="0" fontId="43" fillId="0" borderId="4" xfId="0" applyFont="1" applyBorder="1" applyAlignment="1">
      <alignment horizontal="center" vertical="center"/>
    </xf>
    <xf numFmtId="0" fontId="12" fillId="0" borderId="4" xfId="0" applyFont="1" applyBorder="1" applyAlignment="1">
      <alignment horizontal="center" vertic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0" fillId="6" borderId="4" xfId="0" applyFill="1" applyBorder="1" applyAlignment="1">
      <alignment horizontal="center" vertical="center"/>
    </xf>
    <xf numFmtId="0" fontId="0" fillId="0" borderId="4" xfId="0" applyBorder="1" applyAlignment="1">
      <alignment horizontal="center"/>
    </xf>
    <xf numFmtId="0" fontId="0" fillId="6" borderId="4" xfId="0" applyFill="1" applyBorder="1" applyAlignment="1">
      <alignment horizontal="center" vertical="center" wrapText="1"/>
    </xf>
    <xf numFmtId="0" fontId="0" fillId="11"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164" fontId="28" fillId="0" borderId="0" xfId="0" applyNumberFormat="1" applyFont="1" applyFill="1"/>
    <xf numFmtId="0" fontId="0" fillId="6" borderId="4" xfId="0" applyFill="1" applyBorder="1" applyAlignment="1">
      <alignment horizontal="center" vertical="center"/>
    </xf>
    <xf numFmtId="1" fontId="0" fillId="37" borderId="4" xfId="0" applyNumberFormat="1" applyFill="1" applyBorder="1" applyAlignment="1">
      <alignment horizontal="center" vertical="center"/>
    </xf>
    <xf numFmtId="0" fontId="0" fillId="0" borderId="4" xfId="0" applyBorder="1" applyAlignment="1">
      <alignment horizontal="center" vertical="center"/>
    </xf>
    <xf numFmtId="0" fontId="0" fillId="6" borderId="4" xfId="0" applyFill="1" applyBorder="1" applyAlignment="1">
      <alignment horizontal="center" vertical="center"/>
    </xf>
    <xf numFmtId="0" fontId="37" fillId="6" borderId="4" xfId="0" applyFont="1" applyFill="1" applyBorder="1" applyAlignment="1">
      <alignment horizontal="center" vertical="center"/>
    </xf>
    <xf numFmtId="0" fontId="37" fillId="0" borderId="4" xfId="0" applyFont="1" applyFill="1" applyBorder="1" applyAlignment="1">
      <alignment horizontal="center" vertical="center"/>
    </xf>
    <xf numFmtId="0" fontId="0" fillId="0" borderId="49" xfId="0" applyFill="1" applyBorder="1" applyAlignment="1">
      <alignment horizontal="center" vertical="center"/>
    </xf>
    <xf numFmtId="0" fontId="37" fillId="0" borderId="50" xfId="0" applyFont="1" applyFill="1" applyBorder="1" applyAlignment="1">
      <alignment horizontal="center" vertical="center" wrapText="1"/>
    </xf>
    <xf numFmtId="0" fontId="37" fillId="0" borderId="51" xfId="0" applyFont="1" applyFill="1" applyBorder="1" applyAlignment="1">
      <alignment horizontal="center" vertical="center" wrapText="1"/>
    </xf>
    <xf numFmtId="0" fontId="0" fillId="0" borderId="52" xfId="0" applyFill="1" applyBorder="1" applyAlignment="1">
      <alignment horizontal="center" vertical="center"/>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6" borderId="54" xfId="0" applyFill="1" applyBorder="1" applyAlignment="1">
      <alignment horizontal="center" vertical="center"/>
    </xf>
    <xf numFmtId="0" fontId="0" fillId="0" borderId="55" xfId="0" applyFill="1" applyBorder="1" applyAlignment="1">
      <alignment horizontal="center" vertical="center"/>
    </xf>
    <xf numFmtId="0" fontId="0" fillId="0" borderId="4" xfId="0" applyBorder="1" applyAlignment="1">
      <alignment horizontal="center" vertical="center"/>
    </xf>
    <xf numFmtId="0" fontId="16" fillId="3" borderId="4" xfId="5" applyFont="1" applyFill="1" applyBorder="1" applyAlignment="1">
      <alignment horizontal="center"/>
    </xf>
    <xf numFmtId="0" fontId="43" fillId="0" borderId="4" xfId="0" applyFont="1" applyBorder="1" applyAlignment="1">
      <alignment horizontal="center" vertical="center"/>
    </xf>
    <xf numFmtId="0" fontId="12" fillId="0" borderId="4" xfId="0" applyFont="1" applyBorder="1" applyAlignment="1">
      <alignment horizontal="center" vertic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24" fillId="0" borderId="7" xfId="6" applyBorder="1" applyAlignment="1">
      <alignment horizontal="center"/>
    </xf>
    <xf numFmtId="0" fontId="0" fillId="0" borderId="4" xfId="0" applyBorder="1" applyAlignment="1">
      <alignment horizontal="center"/>
    </xf>
    <xf numFmtId="0" fontId="0" fillId="6" borderId="4" xfId="0" applyFill="1" applyBorder="1" applyAlignment="1">
      <alignment horizontal="center" vertical="center" wrapText="1"/>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1" fontId="39" fillId="26" borderId="4" xfId="0" applyNumberFormat="1" applyFont="1" applyFill="1" applyBorder="1"/>
    <xf numFmtId="0" fontId="36" fillId="26" borderId="4" xfId="0" applyFont="1" applyFill="1" applyBorder="1"/>
    <xf numFmtId="1" fontId="36" fillId="26" borderId="4" xfId="0" applyNumberFormat="1" applyFont="1" applyFill="1" applyBorder="1"/>
    <xf numFmtId="1" fontId="36" fillId="4" borderId="4" xfId="0" applyNumberFormat="1" applyFont="1" applyFill="1" applyBorder="1"/>
    <xf numFmtId="1" fontId="36" fillId="3" borderId="4" xfId="0" applyNumberFormat="1" applyFont="1" applyFill="1" applyBorder="1"/>
    <xf numFmtId="20" fontId="36" fillId="0" borderId="0" xfId="0" applyNumberFormat="1" applyFont="1"/>
    <xf numFmtId="1" fontId="39" fillId="2" borderId="4" xfId="0" applyNumberFormat="1" applyFont="1" applyFill="1" applyBorder="1"/>
    <xf numFmtId="1" fontId="15" fillId="2" borderId="4" xfId="5" applyNumberFormat="1" applyFont="1" applyFill="1" applyBorder="1"/>
    <xf numFmtId="1" fontId="36" fillId="0" borderId="0" xfId="0" applyNumberFormat="1" applyFont="1"/>
    <xf numFmtId="1" fontId="17" fillId="3" borderId="4" xfId="5" applyNumberFormat="1" applyFont="1" applyFill="1" applyBorder="1"/>
    <xf numFmtId="0" fontId="0" fillId="0" borderId="4" xfId="0" applyBorder="1" applyAlignment="1">
      <alignment horizontal="center" vertical="center"/>
    </xf>
    <xf numFmtId="0" fontId="0" fillId="8" borderId="4" xfId="0" applyFill="1" applyBorder="1" applyAlignment="1">
      <alignment horizontal="center" vertical="center"/>
    </xf>
    <xf numFmtId="0" fontId="0" fillId="29" borderId="4" xfId="0" applyFill="1" applyBorder="1" applyAlignment="1">
      <alignment horizontal="center" vertical="center"/>
    </xf>
    <xf numFmtId="0" fontId="0" fillId="4" borderId="4" xfId="0" applyFill="1" applyBorder="1" applyAlignment="1">
      <alignment horizontal="center" vertical="center"/>
    </xf>
    <xf numFmtId="0" fontId="24" fillId="0" borderId="4" xfId="6" applyBorder="1" applyAlignment="1">
      <alignment horizontal="center" vertical="center"/>
    </xf>
    <xf numFmtId="0" fontId="43" fillId="0" borderId="4" xfId="0" applyFont="1" applyBorder="1" applyAlignment="1">
      <alignment horizontal="center" vertical="center"/>
    </xf>
    <xf numFmtId="0" fontId="12" fillId="0" borderId="4" xfId="0" applyFont="1" applyBorder="1" applyAlignment="1">
      <alignment horizontal="center" vertical="center"/>
    </xf>
    <xf numFmtId="0" fontId="0" fillId="0" borderId="4" xfId="0" applyBorder="1" applyAlignment="1">
      <alignment horizont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0" fillId="6" borderId="4" xfId="0" applyFill="1" applyBorder="1" applyAlignment="1">
      <alignment horizontal="center" vertical="center"/>
    </xf>
    <xf numFmtId="0" fontId="24" fillId="0" borderId="7" xfId="6" applyBorder="1" applyAlignment="1">
      <alignment horizontal="center"/>
    </xf>
    <xf numFmtId="0" fontId="0" fillId="6" borderId="4" xfId="0" applyFill="1" applyBorder="1" applyAlignment="1">
      <alignment horizontal="center" vertical="center" wrapText="1"/>
    </xf>
    <xf numFmtId="0" fontId="5" fillId="0" borderId="4" xfId="0" applyFont="1" applyBorder="1" applyAlignment="1">
      <alignment horizontal="left" vertical="center"/>
    </xf>
    <xf numFmtId="0" fontId="0" fillId="0" borderId="4" xfId="0" applyBorder="1" applyAlignment="1">
      <alignment horizontal="center" vertical="center"/>
    </xf>
    <xf numFmtId="0" fontId="0" fillId="29" borderId="4" xfId="0" applyFill="1" applyBorder="1" applyAlignment="1">
      <alignment horizontal="center" vertical="center"/>
    </xf>
    <xf numFmtId="0" fontId="0" fillId="0" borderId="4" xfId="0" applyBorder="1" applyAlignment="1">
      <alignment horizontal="center"/>
    </xf>
    <xf numFmtId="0" fontId="24" fillId="0" borderId="4" xfId="6" applyBorder="1" applyAlignment="1">
      <alignment horizontal="center" vertical="center"/>
    </xf>
    <xf numFmtId="0" fontId="43" fillId="0" borderId="4" xfId="0" applyFont="1" applyBorder="1" applyAlignment="1">
      <alignment horizontal="center" vertical="center"/>
    </xf>
    <xf numFmtId="0" fontId="12" fillId="0" borderId="4" xfId="0" applyFont="1" applyBorder="1" applyAlignment="1">
      <alignment horizontal="center" vertic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0" fillId="6" borderId="4" xfId="0" applyFill="1" applyBorder="1" applyAlignment="1">
      <alignment horizontal="center" vertical="center"/>
    </xf>
    <xf numFmtId="0" fontId="24" fillId="0" borderId="7" xfId="6" applyBorder="1" applyAlignment="1">
      <alignment horizontal="center"/>
    </xf>
    <xf numFmtId="0" fontId="0" fillId="6" borderId="4" xfId="0" applyFill="1" applyBorder="1" applyAlignment="1">
      <alignment horizontal="center" vertical="center" wrapText="1"/>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11" borderId="4" xfId="0" applyFill="1" applyBorder="1" applyAlignment="1">
      <alignment horizontal="center" vertical="center"/>
    </xf>
    <xf numFmtId="0" fontId="5" fillId="0" borderId="4" xfId="0" applyFont="1" applyBorder="1" applyAlignment="1">
      <alignment horizontal="left" vertical="center"/>
    </xf>
    <xf numFmtId="0" fontId="24" fillId="4" borderId="4" xfId="6" applyFill="1" applyBorder="1"/>
    <xf numFmtId="1" fontId="0" fillId="29" borderId="4" xfId="0" applyNumberFormat="1" applyFill="1" applyBorder="1" applyAlignment="1">
      <alignment horizontal="center" vertical="center"/>
    </xf>
    <xf numFmtId="1" fontId="0" fillId="6" borderId="4" xfId="0" applyNumberFormat="1" applyFill="1" applyBorder="1" applyAlignment="1">
      <alignment horizontal="center" vertical="center" wrapText="1"/>
    </xf>
    <xf numFmtId="168" fontId="0" fillId="6" borderId="4" xfId="0" applyNumberFormat="1" applyFill="1" applyBorder="1" applyAlignment="1">
      <alignment horizontal="center" vertical="center" wrapText="1"/>
    </xf>
    <xf numFmtId="0" fontId="0" fillId="0" borderId="4" xfId="0" applyBorder="1" applyAlignment="1">
      <alignment horizontal="center" vertical="center"/>
    </xf>
    <xf numFmtId="0" fontId="0" fillId="29" borderId="4" xfId="0" applyFill="1" applyBorder="1" applyAlignment="1">
      <alignment horizontal="center" vertical="center"/>
    </xf>
    <xf numFmtId="0" fontId="0" fillId="0" borderId="4" xfId="0" applyBorder="1" applyAlignment="1">
      <alignment horizontal="center"/>
    </xf>
    <xf numFmtId="0" fontId="43" fillId="0" borderId="4" xfId="0" applyFont="1" applyBorder="1" applyAlignment="1">
      <alignment horizontal="center" vertical="center"/>
    </xf>
    <xf numFmtId="0" fontId="12" fillId="0" borderId="4" xfId="0" applyFont="1" applyBorder="1" applyAlignment="1">
      <alignment horizontal="center" vertic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24" fillId="0" borderId="7" xfId="6" applyBorder="1" applyAlignment="1">
      <alignment horizontal="center"/>
    </xf>
    <xf numFmtId="0" fontId="0" fillId="6" borderId="4" xfId="0" applyFill="1" applyBorder="1" applyAlignment="1">
      <alignment horizontal="center" vertical="center"/>
    </xf>
    <xf numFmtId="0" fontId="13" fillId="0" borderId="4" xfId="0" applyFont="1" applyBorder="1"/>
    <xf numFmtId="0" fontId="0" fillId="29" borderId="4" xfId="0" applyFill="1" applyBorder="1" applyAlignment="1">
      <alignment horizontal="center" vertical="center"/>
    </xf>
    <xf numFmtId="0" fontId="0" fillId="6" borderId="4" xfId="0" applyFill="1" applyBorder="1" applyAlignment="1">
      <alignment horizontal="center" vertical="center"/>
    </xf>
    <xf numFmtId="0" fontId="13" fillId="0" borderId="4" xfId="0" applyFont="1" applyFill="1" applyBorder="1" applyAlignment="1">
      <alignment horizontal="left" wrapText="1"/>
    </xf>
    <xf numFmtId="0" fontId="0" fillId="0" borderId="4" xfId="0" applyBorder="1" applyAlignment="1">
      <alignment horizontal="center" vertical="center"/>
    </xf>
    <xf numFmtId="0" fontId="0" fillId="29" borderId="4" xfId="0" applyFill="1" applyBorder="1" applyAlignment="1">
      <alignment horizontal="center" vertical="center"/>
    </xf>
    <xf numFmtId="0" fontId="43" fillId="0" borderId="4" xfId="0" applyFont="1" applyBorder="1" applyAlignment="1">
      <alignment horizontal="center" vertical="center"/>
    </xf>
    <xf numFmtId="0" fontId="12" fillId="0" borderId="4" xfId="0" applyFont="1" applyBorder="1" applyAlignment="1">
      <alignment horizontal="center" vertical="center"/>
    </xf>
    <xf numFmtId="0" fontId="0" fillId="0" borderId="4" xfId="0" applyBorder="1" applyAlignment="1">
      <alignment horizont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24" fillId="0" borderId="7" xfId="6" applyBorder="1" applyAlignment="1">
      <alignment horizontal="center"/>
    </xf>
    <xf numFmtId="0" fontId="0" fillId="6" borderId="4" xfId="0" applyFill="1" applyBorder="1" applyAlignment="1">
      <alignment horizontal="center" vertical="center" wrapText="1"/>
    </xf>
    <xf numFmtId="0" fontId="5" fillId="0" borderId="4" xfId="0" applyFont="1" applyBorder="1" applyAlignment="1">
      <alignment horizontal="left" vertical="center"/>
    </xf>
    <xf numFmtId="0" fontId="0" fillId="38" borderId="4" xfId="0" applyFill="1" applyBorder="1" applyAlignment="1">
      <alignment horizontal="center" vertical="center"/>
    </xf>
    <xf numFmtId="3" fontId="0" fillId="38" borderId="4" xfId="0" applyNumberFormat="1" applyFill="1" applyBorder="1" applyAlignment="1">
      <alignment horizontal="center" vertical="center"/>
    </xf>
    <xf numFmtId="0" fontId="0" fillId="29" borderId="14" xfId="0" applyFill="1" applyBorder="1" applyAlignment="1">
      <alignment horizontal="center" vertical="center"/>
    </xf>
    <xf numFmtId="0" fontId="24" fillId="0" borderId="27" xfId="6" applyFill="1" applyBorder="1" applyAlignment="1">
      <alignment horizontal="center" vertical="center"/>
    </xf>
    <xf numFmtId="0" fontId="0" fillId="0" borderId="27" xfId="0" applyFill="1" applyBorder="1" applyAlignment="1">
      <alignment horizontal="center" vertical="center"/>
    </xf>
    <xf numFmtId="0" fontId="0" fillId="0" borderId="26" xfId="0" applyFill="1" applyBorder="1" applyAlignment="1">
      <alignment horizontal="center" vertical="center"/>
    </xf>
    <xf numFmtId="0" fontId="0" fillId="0" borderId="28" xfId="0" applyFill="1" applyBorder="1" applyAlignment="1">
      <alignment horizontal="center" vertical="center"/>
    </xf>
    <xf numFmtId="0" fontId="0" fillId="4" borderId="14" xfId="0" applyFill="1" applyBorder="1" applyAlignment="1">
      <alignment horizontal="center" vertical="center"/>
    </xf>
    <xf numFmtId="0" fontId="0" fillId="29" borderId="26" xfId="0" applyFill="1" applyBorder="1" applyAlignment="1">
      <alignment horizontal="center" vertical="center"/>
    </xf>
    <xf numFmtId="0" fontId="0" fillId="39" borderId="0" xfId="0" applyFill="1"/>
    <xf numFmtId="0" fontId="0" fillId="29" borderId="30" xfId="0" applyFill="1" applyBorder="1" applyAlignment="1">
      <alignment horizontal="center" vertical="center"/>
    </xf>
    <xf numFmtId="0" fontId="0" fillId="29" borderId="29" xfId="0" applyFill="1" applyBorder="1" applyAlignment="1">
      <alignment horizontal="center" vertical="center"/>
    </xf>
    <xf numFmtId="0" fontId="0" fillId="0" borderId="4" xfId="0" applyBorder="1" applyAlignment="1">
      <alignment horizontal="center" vertical="center"/>
    </xf>
    <xf numFmtId="0" fontId="24" fillId="0" borderId="4" xfId="6" applyBorder="1" applyAlignment="1">
      <alignment horizontal="center" vertic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0" fillId="6" borderId="4" xfId="0" applyFill="1" applyBorder="1" applyAlignment="1">
      <alignment horizontal="center" vertical="center"/>
    </xf>
    <xf numFmtId="0" fontId="0" fillId="6" borderId="4" xfId="0" applyFill="1" applyBorder="1" applyAlignment="1">
      <alignment horizontal="center" vertical="center" wrapText="1"/>
    </xf>
    <xf numFmtId="9" fontId="0" fillId="0" borderId="0" xfId="0" applyNumberFormat="1" applyAlignment="1">
      <alignment vertical="center"/>
    </xf>
    <xf numFmtId="0" fontId="45" fillId="40" borderId="0" xfId="0" applyFont="1" applyFill="1" applyAlignment="1">
      <alignment horizontal="left" vertical="top"/>
    </xf>
    <xf numFmtId="0" fontId="8" fillId="40" borderId="0" xfId="0" applyFont="1" applyFill="1" applyAlignment="1">
      <alignment horizontal="left" vertical="top"/>
    </xf>
    <xf numFmtId="0" fontId="8" fillId="40" borderId="0" xfId="0" applyFont="1" applyFill="1" applyAlignment="1">
      <alignment horizontal="left" vertical="top" wrapText="1"/>
    </xf>
    <xf numFmtId="174" fontId="8" fillId="40" borderId="0" xfId="0" applyNumberFormat="1" applyFont="1" applyFill="1" applyAlignment="1">
      <alignment horizontal="left" vertical="top"/>
    </xf>
    <xf numFmtId="9" fontId="8" fillId="40" borderId="0" xfId="1" applyFont="1" applyFill="1" applyAlignment="1">
      <alignment horizontal="left" vertical="top"/>
    </xf>
    <xf numFmtId="174" fontId="12" fillId="40" borderId="0" xfId="0" applyNumberFormat="1" applyFont="1" applyFill="1" applyAlignment="1">
      <alignment horizontal="left" vertical="top"/>
    </xf>
    <xf numFmtId="0" fontId="0" fillId="40" borderId="0" xfId="0" quotePrefix="1" applyFont="1" applyFill="1" applyAlignment="1">
      <alignment horizontal="left" vertical="top"/>
    </xf>
    <xf numFmtId="0" fontId="0" fillId="40" borderId="0" xfId="0" applyFill="1" applyAlignment="1">
      <alignment horizontal="left" vertical="top"/>
    </xf>
    <xf numFmtId="0" fontId="0" fillId="40" borderId="0" xfId="0" applyFill="1" applyAlignment="1">
      <alignment horizontal="left" vertical="top" wrapText="1"/>
    </xf>
    <xf numFmtId="174" fontId="0" fillId="40" borderId="0" xfId="0" applyNumberFormat="1" applyFill="1" applyAlignment="1">
      <alignment horizontal="left" vertical="top"/>
    </xf>
    <xf numFmtId="9" fontId="0" fillId="40" borderId="0" xfId="1" applyFont="1" applyFill="1" applyAlignment="1">
      <alignment horizontal="left" vertical="top"/>
    </xf>
    <xf numFmtId="174" fontId="13" fillId="40" borderId="0" xfId="0" applyNumberFormat="1" applyFont="1" applyFill="1" applyAlignment="1">
      <alignment horizontal="left" vertical="top"/>
    </xf>
    <xf numFmtId="0" fontId="0" fillId="40" borderId="4" xfId="0" applyFill="1" applyBorder="1" applyAlignment="1">
      <alignment horizontal="left" vertical="top"/>
    </xf>
    <xf numFmtId="0" fontId="8" fillId="41" borderId="4" xfId="0" applyFont="1" applyFill="1" applyBorder="1" applyAlignment="1">
      <alignment horizontal="left" vertical="top" wrapText="1"/>
    </xf>
    <xf numFmtId="0" fontId="8" fillId="41" borderId="10" xfId="0" applyFont="1" applyFill="1" applyBorder="1" applyAlignment="1">
      <alignment horizontal="left" vertical="top" wrapText="1"/>
    </xf>
    <xf numFmtId="174" fontId="8" fillId="41" borderId="10" xfId="0" applyNumberFormat="1" applyFont="1" applyFill="1" applyBorder="1" applyAlignment="1">
      <alignment horizontal="left" vertical="top" wrapText="1"/>
    </xf>
    <xf numFmtId="9" fontId="8" fillId="41" borderId="10" xfId="1" applyFont="1" applyFill="1" applyBorder="1" applyAlignment="1">
      <alignment horizontal="left" vertical="top" wrapText="1"/>
    </xf>
    <xf numFmtId="174" fontId="12" fillId="41" borderId="10" xfId="0" applyNumberFormat="1" applyFont="1" applyFill="1" applyBorder="1" applyAlignment="1">
      <alignment horizontal="left" vertical="top" wrapText="1"/>
    </xf>
    <xf numFmtId="14" fontId="8" fillId="41" borderId="4" xfId="0" applyNumberFormat="1" applyFont="1" applyFill="1" applyBorder="1" applyAlignment="1">
      <alignment horizontal="left" vertical="top" wrapText="1"/>
    </xf>
    <xf numFmtId="0" fontId="0" fillId="42" borderId="4" xfId="0" applyFont="1" applyFill="1" applyBorder="1" applyAlignment="1">
      <alignment horizontal="left" vertical="top"/>
    </xf>
    <xf numFmtId="0" fontId="0" fillId="42" borderId="4" xfId="0" applyFont="1" applyFill="1" applyBorder="1" applyAlignment="1">
      <alignment horizontal="left" vertical="top" wrapText="1"/>
    </xf>
    <xf numFmtId="175" fontId="0" fillId="42" borderId="10" xfId="2" quotePrefix="1" applyNumberFormat="1" applyFont="1" applyFill="1" applyBorder="1" applyAlignment="1">
      <alignment horizontal="left" vertical="top"/>
    </xf>
    <xf numFmtId="14" fontId="0" fillId="42" borderId="10" xfId="0" applyNumberFormat="1" applyFont="1" applyFill="1" applyBorder="1" applyAlignment="1" applyProtection="1">
      <alignment horizontal="left" vertical="top"/>
    </xf>
    <xf numFmtId="174" fontId="0" fillId="42" borderId="10" xfId="0" applyNumberFormat="1" applyFont="1" applyFill="1" applyBorder="1" applyAlignment="1" applyProtection="1">
      <alignment horizontal="left" vertical="top"/>
    </xf>
    <xf numFmtId="9" fontId="0" fillId="42" borderId="10" xfId="1" applyFont="1" applyFill="1" applyBorder="1" applyAlignment="1" applyProtection="1">
      <alignment horizontal="left" vertical="top"/>
    </xf>
    <xf numFmtId="176" fontId="0" fillId="42" borderId="10" xfId="0" quotePrefix="1" applyNumberFormat="1" applyFont="1" applyFill="1" applyBorder="1" applyAlignment="1" applyProtection="1">
      <alignment horizontal="left" vertical="top"/>
    </xf>
    <xf numFmtId="174" fontId="13" fillId="42" borderId="10" xfId="0" applyNumberFormat="1" applyFont="1" applyFill="1" applyBorder="1" applyAlignment="1" applyProtection="1">
      <alignment horizontal="left" vertical="top"/>
    </xf>
    <xf numFmtId="14" fontId="0" fillId="42" borderId="4" xfId="0" applyNumberFormat="1" applyFont="1" applyFill="1" applyBorder="1" applyAlignment="1" applyProtection="1">
      <alignment horizontal="left" vertical="top"/>
    </xf>
    <xf numFmtId="0" fontId="13" fillId="42" borderId="4" xfId="0" applyFont="1" applyFill="1" applyBorder="1" applyAlignment="1">
      <alignment horizontal="left" vertical="top"/>
    </xf>
    <xf numFmtId="0" fontId="13" fillId="42" borderId="4" xfId="0" applyFont="1" applyFill="1" applyBorder="1" applyAlignment="1">
      <alignment horizontal="left" vertical="top" wrapText="1"/>
    </xf>
    <xf numFmtId="175" fontId="13" fillId="42" borderId="10" xfId="2" quotePrefix="1" applyNumberFormat="1" applyFont="1" applyFill="1" applyBorder="1" applyAlignment="1">
      <alignment horizontal="left" vertical="top"/>
    </xf>
    <xf numFmtId="14" fontId="13" fillId="42" borderId="10" xfId="0" applyNumberFormat="1" applyFont="1" applyFill="1" applyBorder="1" applyAlignment="1" applyProtection="1">
      <alignment horizontal="left" vertical="top"/>
    </xf>
    <xf numFmtId="9" fontId="13" fillId="42" borderId="10" xfId="1" applyFont="1" applyFill="1" applyBorder="1" applyAlignment="1" applyProtection="1">
      <alignment horizontal="left" vertical="top"/>
    </xf>
    <xf numFmtId="176" fontId="13" fillId="42" borderId="10" xfId="0" applyNumberFormat="1" applyFont="1" applyFill="1" applyBorder="1" applyAlignment="1" applyProtection="1">
      <alignment horizontal="left" vertical="top"/>
    </xf>
    <xf numFmtId="174" fontId="13" fillId="42" borderId="10" xfId="0" quotePrefix="1" applyNumberFormat="1" applyFont="1" applyFill="1" applyBorder="1" applyAlignment="1" applyProtection="1">
      <alignment horizontal="left" vertical="top"/>
    </xf>
    <xf numFmtId="14" fontId="13" fillId="42" borderId="4" xfId="0" applyNumberFormat="1" applyFont="1" applyFill="1" applyBorder="1" applyAlignment="1" applyProtection="1">
      <alignment horizontal="left" vertical="top"/>
    </xf>
    <xf numFmtId="176" fontId="0" fillId="42" borderId="10" xfId="0" applyNumberFormat="1" applyFont="1" applyFill="1" applyBorder="1" applyAlignment="1" applyProtection="1">
      <alignment horizontal="left" vertical="top"/>
    </xf>
    <xf numFmtId="0" fontId="0" fillId="40" borderId="4" xfId="0" applyFont="1" applyFill="1" applyBorder="1" applyAlignment="1">
      <alignment horizontal="left" vertical="top"/>
    </xf>
    <xf numFmtId="0" fontId="0" fillId="40" borderId="4" xfId="0" applyFont="1" applyFill="1" applyBorder="1" applyAlignment="1">
      <alignment horizontal="left" vertical="top" wrapText="1"/>
    </xf>
    <xf numFmtId="175" fontId="1" fillId="40" borderId="10" xfId="2" applyNumberFormat="1" applyFont="1" applyFill="1" applyBorder="1" applyAlignment="1">
      <alignment horizontal="left" vertical="top"/>
    </xf>
    <xf numFmtId="177" fontId="1" fillId="40" borderId="10" xfId="2" applyNumberFormat="1" applyFont="1" applyFill="1" applyBorder="1" applyAlignment="1">
      <alignment horizontal="left" vertical="top"/>
    </xf>
    <xf numFmtId="14" fontId="0" fillId="40" borderId="10" xfId="0" applyNumberFormat="1" applyFont="1" applyFill="1" applyBorder="1" applyAlignment="1" applyProtection="1">
      <alignment horizontal="left" vertical="top"/>
    </xf>
    <xf numFmtId="174" fontId="0" fillId="40" borderId="10" xfId="0" applyNumberFormat="1" applyFont="1" applyFill="1" applyBorder="1" applyAlignment="1" applyProtection="1">
      <alignment horizontal="left" vertical="top"/>
    </xf>
    <xf numFmtId="9" fontId="0" fillId="40" borderId="10" xfId="1" applyFont="1" applyFill="1" applyBorder="1" applyAlignment="1" applyProtection="1">
      <alignment horizontal="left" vertical="top"/>
    </xf>
    <xf numFmtId="176" fontId="0" fillId="40" borderId="10" xfId="0" applyNumberFormat="1" applyFont="1" applyFill="1" applyBorder="1" applyAlignment="1" applyProtection="1">
      <alignment horizontal="left" vertical="top"/>
    </xf>
    <xf numFmtId="174" fontId="13" fillId="40" borderId="10" xfId="0" applyNumberFormat="1" applyFont="1" applyFill="1" applyBorder="1" applyAlignment="1" applyProtection="1">
      <alignment horizontal="left" vertical="top"/>
    </xf>
    <xf numFmtId="14" fontId="0" fillId="40" borderId="4" xfId="0" applyNumberFormat="1" applyFont="1" applyFill="1" applyBorder="1" applyAlignment="1" applyProtection="1">
      <alignment horizontal="left" vertical="top"/>
    </xf>
    <xf numFmtId="14" fontId="0" fillId="40" borderId="4" xfId="0" quotePrefix="1" applyNumberFormat="1" applyFont="1" applyFill="1" applyBorder="1" applyAlignment="1" applyProtection="1">
      <alignment horizontal="left" vertical="top"/>
    </xf>
    <xf numFmtId="0" fontId="0" fillId="43" borderId="4" xfId="0" applyFont="1" applyFill="1" applyBorder="1" applyAlignment="1">
      <alignment horizontal="left" vertical="top"/>
    </xf>
    <xf numFmtId="0" fontId="0" fillId="43" borderId="4" xfId="0" applyFont="1" applyFill="1" applyBorder="1" applyAlignment="1">
      <alignment horizontal="left" vertical="top" wrapText="1"/>
    </xf>
    <xf numFmtId="175" fontId="1" fillId="43" borderId="10" xfId="2" applyNumberFormat="1" applyFont="1" applyFill="1" applyBorder="1" applyAlignment="1">
      <alignment horizontal="left" vertical="top"/>
    </xf>
    <xf numFmtId="177" fontId="1" fillId="43" borderId="10" xfId="2" applyNumberFormat="1" applyFont="1" applyFill="1" applyBorder="1" applyAlignment="1">
      <alignment horizontal="left" vertical="top"/>
    </xf>
    <xf numFmtId="14" fontId="0" fillId="43" borderId="10" xfId="0" applyNumberFormat="1" applyFont="1" applyFill="1" applyBorder="1" applyAlignment="1" applyProtection="1">
      <alignment horizontal="left" vertical="top"/>
    </xf>
    <xf numFmtId="174" fontId="0" fillId="43" borderId="10" xfId="0" quotePrefix="1" applyNumberFormat="1" applyFont="1" applyFill="1" applyBorder="1" applyAlignment="1" applyProtection="1">
      <alignment horizontal="left" vertical="top"/>
    </xf>
    <xf numFmtId="9" fontId="0" fillId="43" borderId="10" xfId="1" quotePrefix="1" applyFont="1" applyFill="1" applyBorder="1" applyAlignment="1" applyProtection="1">
      <alignment horizontal="left" vertical="top"/>
    </xf>
    <xf numFmtId="176" fontId="0" fillId="43" borderId="10" xfId="0" quotePrefix="1" applyNumberFormat="1" applyFont="1" applyFill="1" applyBorder="1" applyAlignment="1" applyProtection="1">
      <alignment horizontal="left" vertical="top"/>
    </xf>
    <xf numFmtId="174" fontId="13" fillId="43" borderId="10" xfId="0" quotePrefix="1" applyNumberFormat="1" applyFont="1" applyFill="1" applyBorder="1" applyAlignment="1" applyProtection="1">
      <alignment horizontal="left" vertical="top"/>
    </xf>
    <xf numFmtId="0" fontId="0" fillId="43" borderId="4" xfId="0" quotePrefix="1" applyFont="1" applyFill="1" applyBorder="1" applyAlignment="1">
      <alignment horizontal="left" vertical="top"/>
    </xf>
    <xf numFmtId="175" fontId="0" fillId="40" borderId="10" xfId="2" applyNumberFormat="1" applyFont="1" applyFill="1" applyBorder="1" applyAlignment="1">
      <alignment horizontal="left" vertical="top"/>
    </xf>
    <xf numFmtId="177" fontId="0" fillId="40" borderId="10" xfId="2" applyNumberFormat="1" applyFont="1" applyFill="1" applyBorder="1" applyAlignment="1">
      <alignment horizontal="left" vertical="top"/>
    </xf>
    <xf numFmtId="14" fontId="0" fillId="40" borderId="4" xfId="0" applyNumberFormat="1" applyFont="1" applyFill="1" applyBorder="1" applyAlignment="1">
      <alignment horizontal="left" vertical="top"/>
    </xf>
    <xf numFmtId="174" fontId="13" fillId="40" borderId="10" xfId="0" quotePrefix="1" applyNumberFormat="1" applyFont="1" applyFill="1" applyBorder="1" applyAlignment="1" applyProtection="1">
      <alignment horizontal="left" vertical="top"/>
    </xf>
    <xf numFmtId="14" fontId="0" fillId="40" borderId="4" xfId="0" quotePrefix="1" applyNumberFormat="1" applyFont="1" applyFill="1" applyBorder="1" applyAlignment="1">
      <alignment horizontal="left" vertical="top"/>
    </xf>
    <xf numFmtId="0" fontId="0" fillId="44" borderId="4" xfId="0" applyFont="1" applyFill="1" applyBorder="1" applyAlignment="1">
      <alignment horizontal="left" vertical="top"/>
    </xf>
    <xf numFmtId="0" fontId="0" fillId="44" borderId="4" xfId="0" applyFont="1" applyFill="1" applyBorder="1" applyAlignment="1">
      <alignment horizontal="left" vertical="top" wrapText="1"/>
    </xf>
    <xf numFmtId="175" fontId="0" fillId="44" borderId="10" xfId="2" applyNumberFormat="1" applyFont="1" applyFill="1" applyBorder="1" applyAlignment="1">
      <alignment horizontal="left" vertical="top"/>
    </xf>
    <xf numFmtId="177" fontId="0" fillId="44" borderId="10" xfId="2" applyNumberFormat="1" applyFont="1" applyFill="1" applyBorder="1" applyAlignment="1">
      <alignment horizontal="left" vertical="top"/>
    </xf>
    <xf numFmtId="14" fontId="0" fillId="44" borderId="10" xfId="0" applyNumberFormat="1" applyFont="1" applyFill="1" applyBorder="1" applyAlignment="1" applyProtection="1">
      <alignment horizontal="left" vertical="top"/>
    </xf>
    <xf numFmtId="174" fontId="0" fillId="44" borderId="10" xfId="0" applyNumberFormat="1" applyFont="1" applyFill="1" applyBorder="1" applyAlignment="1" applyProtection="1">
      <alignment horizontal="left" vertical="top"/>
    </xf>
    <xf numFmtId="9" fontId="0" fillId="44" borderId="10" xfId="1" applyFont="1" applyFill="1" applyBorder="1" applyAlignment="1" applyProtection="1">
      <alignment horizontal="left" vertical="top"/>
    </xf>
    <xf numFmtId="0" fontId="0" fillId="44" borderId="4" xfId="0" quotePrefix="1" applyFont="1" applyFill="1" applyBorder="1" applyAlignment="1">
      <alignment horizontal="left" vertical="top" wrapText="1"/>
    </xf>
    <xf numFmtId="174" fontId="13" fillId="44" borderId="10" xfId="0" applyNumberFormat="1" applyFont="1" applyFill="1" applyBorder="1" applyAlignment="1" applyProtection="1">
      <alignment horizontal="left" vertical="top"/>
    </xf>
    <xf numFmtId="14" fontId="0" fillId="44" borderId="4" xfId="0" applyNumberFormat="1" applyFont="1" applyFill="1" applyBorder="1" applyAlignment="1">
      <alignment horizontal="left" vertical="top"/>
    </xf>
    <xf numFmtId="0" fontId="50" fillId="45" borderId="4" xfId="0" applyFont="1" applyFill="1" applyBorder="1" applyAlignment="1">
      <alignment horizontal="left" vertical="top"/>
    </xf>
    <xf numFmtId="0" fontId="50" fillId="45" borderId="4" xfId="0" applyFont="1" applyFill="1" applyBorder="1" applyAlignment="1">
      <alignment horizontal="left" vertical="top" wrapText="1"/>
    </xf>
    <xf numFmtId="175" fontId="50" fillId="45" borderId="10" xfId="2" applyNumberFormat="1" applyFont="1" applyFill="1" applyBorder="1" applyAlignment="1">
      <alignment horizontal="left" vertical="top"/>
    </xf>
    <xf numFmtId="177" fontId="50" fillId="45" borderId="10" xfId="2" applyNumberFormat="1" applyFont="1" applyFill="1" applyBorder="1" applyAlignment="1">
      <alignment horizontal="left" vertical="top"/>
    </xf>
    <xf numFmtId="14" fontId="50" fillId="45" borderId="10" xfId="0" applyNumberFormat="1" applyFont="1" applyFill="1" applyBorder="1" applyAlignment="1" applyProtection="1">
      <alignment horizontal="left" vertical="top"/>
    </xf>
    <xf numFmtId="174" fontId="50" fillId="45" borderId="10" xfId="0" quotePrefix="1" applyNumberFormat="1" applyFont="1" applyFill="1" applyBorder="1" applyAlignment="1" applyProtection="1">
      <alignment horizontal="left" vertical="top"/>
    </xf>
    <xf numFmtId="9" fontId="50" fillId="45" borderId="10" xfId="1" quotePrefix="1" applyFont="1" applyFill="1" applyBorder="1" applyAlignment="1" applyProtection="1">
      <alignment horizontal="left" vertical="top"/>
    </xf>
    <xf numFmtId="176" fontId="50" fillId="45" borderId="10" xfId="0" quotePrefix="1" applyNumberFormat="1" applyFont="1" applyFill="1" applyBorder="1" applyAlignment="1" applyProtection="1">
      <alignment horizontal="left" vertical="top"/>
    </xf>
    <xf numFmtId="174" fontId="51" fillId="45" borderId="10" xfId="0" quotePrefix="1" applyNumberFormat="1" applyFont="1" applyFill="1" applyBorder="1" applyAlignment="1" applyProtection="1">
      <alignment horizontal="left" vertical="top"/>
    </xf>
    <xf numFmtId="0" fontId="50" fillId="45" borderId="4" xfId="0" quotePrefix="1" applyFont="1" applyFill="1" applyBorder="1" applyAlignment="1">
      <alignment horizontal="left" vertical="top"/>
    </xf>
    <xf numFmtId="0" fontId="50" fillId="44" borderId="4" xfId="0" applyFont="1" applyFill="1" applyBorder="1" applyAlignment="1">
      <alignment horizontal="left" vertical="top"/>
    </xf>
    <xf numFmtId="0" fontId="50" fillId="44" borderId="4" xfId="0" applyFont="1" applyFill="1" applyBorder="1" applyAlignment="1">
      <alignment horizontal="left" vertical="top" wrapText="1"/>
    </xf>
    <xf numFmtId="175" fontId="50" fillId="44" borderId="10" xfId="2" applyNumberFormat="1" applyFont="1" applyFill="1" applyBorder="1" applyAlignment="1">
      <alignment horizontal="left" vertical="top"/>
    </xf>
    <xf numFmtId="177" fontId="50" fillId="44" borderId="10" xfId="2" applyNumberFormat="1" applyFont="1" applyFill="1" applyBorder="1" applyAlignment="1">
      <alignment horizontal="left" vertical="top"/>
    </xf>
    <xf numFmtId="14" fontId="50" fillId="44" borderId="10" xfId="0" applyNumberFormat="1" applyFont="1" applyFill="1" applyBorder="1" applyAlignment="1" applyProtection="1">
      <alignment horizontal="left" vertical="top"/>
    </xf>
    <xf numFmtId="174" fontId="50" fillId="44" borderId="10" xfId="0" applyNumberFormat="1" applyFont="1" applyFill="1" applyBorder="1" applyAlignment="1" applyProtection="1">
      <alignment horizontal="left" vertical="top"/>
    </xf>
    <xf numFmtId="9" fontId="50" fillId="44" borderId="10" xfId="1" applyFont="1" applyFill="1" applyBorder="1" applyAlignment="1" applyProtection="1">
      <alignment horizontal="left" vertical="top"/>
    </xf>
    <xf numFmtId="176" fontId="50" fillId="44" borderId="10" xfId="0" applyNumberFormat="1" applyFont="1" applyFill="1" applyBorder="1" applyAlignment="1" applyProtection="1">
      <alignment horizontal="left" vertical="top"/>
    </xf>
    <xf numFmtId="174" fontId="51" fillId="44" borderId="10" xfId="0" applyNumberFormat="1" applyFont="1" applyFill="1" applyBorder="1" applyAlignment="1" applyProtection="1">
      <alignment horizontal="left" vertical="top"/>
    </xf>
    <xf numFmtId="14" fontId="50" fillId="44" borderId="4" xfId="0" applyNumberFormat="1" applyFont="1" applyFill="1" applyBorder="1" applyAlignment="1">
      <alignment horizontal="left" vertical="top"/>
    </xf>
    <xf numFmtId="0" fontId="50" fillId="44" borderId="4" xfId="0" quotePrefix="1" applyFont="1" applyFill="1" applyBorder="1" applyAlignment="1">
      <alignment horizontal="left" vertical="top"/>
    </xf>
    <xf numFmtId="0" fontId="0" fillId="40" borderId="4" xfId="0" quotePrefix="1" applyFont="1" applyFill="1" applyBorder="1" applyAlignment="1">
      <alignment horizontal="left" vertical="top"/>
    </xf>
    <xf numFmtId="175" fontId="1" fillId="40" borderId="4" xfId="2" applyNumberFormat="1" applyFont="1" applyFill="1" applyBorder="1" applyAlignment="1">
      <alignment horizontal="left" vertical="top"/>
    </xf>
    <xf numFmtId="177" fontId="1" fillId="40" borderId="4" xfId="2" applyNumberFormat="1" applyFont="1" applyFill="1" applyBorder="1" applyAlignment="1">
      <alignment horizontal="left" vertical="top"/>
    </xf>
    <xf numFmtId="174" fontId="0" fillId="40" borderId="4" xfId="0" applyNumberFormat="1" applyFont="1" applyFill="1" applyBorder="1" applyAlignment="1" applyProtection="1">
      <alignment horizontal="left" vertical="top"/>
    </xf>
    <xf numFmtId="9" fontId="0" fillId="40" borderId="4" xfId="1" applyFont="1" applyFill="1" applyBorder="1" applyAlignment="1" applyProtection="1">
      <alignment horizontal="left" vertical="top"/>
    </xf>
    <xf numFmtId="174" fontId="13" fillId="40" borderId="4" xfId="0" applyNumberFormat="1" applyFont="1" applyFill="1" applyBorder="1" applyAlignment="1" applyProtection="1">
      <alignment horizontal="left" vertical="top"/>
    </xf>
    <xf numFmtId="0" fontId="0" fillId="40" borderId="9" xfId="0" applyFont="1" applyFill="1" applyBorder="1" applyAlignment="1">
      <alignment horizontal="left" vertical="top"/>
    </xf>
    <xf numFmtId="0" fontId="0" fillId="40" borderId="9" xfId="0" applyFont="1" applyFill="1" applyBorder="1" applyAlignment="1">
      <alignment horizontal="left" vertical="top" wrapText="1"/>
    </xf>
    <xf numFmtId="175" fontId="0" fillId="40" borderId="4" xfId="2" applyNumberFormat="1" applyFont="1" applyFill="1" applyBorder="1" applyAlignment="1">
      <alignment horizontal="left" vertical="top"/>
    </xf>
    <xf numFmtId="177" fontId="0" fillId="40" borderId="4" xfId="2" applyNumberFormat="1" applyFont="1" applyFill="1" applyBorder="1" applyAlignment="1">
      <alignment horizontal="left" vertical="top"/>
    </xf>
    <xf numFmtId="174" fontId="0" fillId="40" borderId="9" xfId="0" applyNumberFormat="1" applyFont="1" applyFill="1" applyBorder="1" applyAlignment="1">
      <alignment horizontal="left" vertical="top"/>
    </xf>
    <xf numFmtId="9" fontId="0" fillId="40" borderId="9" xfId="1" applyFont="1" applyFill="1" applyBorder="1" applyAlignment="1">
      <alignment horizontal="left" vertical="top"/>
    </xf>
    <xf numFmtId="174" fontId="0" fillId="40" borderId="9" xfId="0" applyNumberFormat="1" applyFont="1" applyFill="1" applyBorder="1" applyAlignment="1">
      <alignment horizontal="left" vertical="top" wrapText="1"/>
    </xf>
    <xf numFmtId="174" fontId="13" fillId="40" borderId="9" xfId="0" applyNumberFormat="1" applyFont="1" applyFill="1" applyBorder="1" applyAlignment="1">
      <alignment horizontal="left" vertical="top"/>
    </xf>
    <xf numFmtId="177" fontId="0" fillId="40" borderId="4" xfId="0" applyNumberFormat="1" applyFont="1" applyFill="1" applyBorder="1" applyAlignment="1">
      <alignment horizontal="left" vertical="top"/>
    </xf>
    <xf numFmtId="174" fontId="0" fillId="40" borderId="4" xfId="0" applyNumberFormat="1" applyFont="1" applyFill="1" applyBorder="1" applyAlignment="1">
      <alignment horizontal="left" vertical="top"/>
    </xf>
    <xf numFmtId="9" fontId="0" fillId="40" borderId="4" xfId="1" applyFont="1" applyFill="1" applyBorder="1" applyAlignment="1">
      <alignment horizontal="left" vertical="top"/>
    </xf>
    <xf numFmtId="174" fontId="0" fillId="40" borderId="4" xfId="0" applyNumberFormat="1" applyFont="1" applyFill="1" applyBorder="1" applyAlignment="1">
      <alignment horizontal="left" vertical="top" wrapText="1"/>
    </xf>
    <xf numFmtId="174" fontId="13" fillId="40" borderId="4" xfId="0" applyNumberFormat="1" applyFont="1" applyFill="1" applyBorder="1" applyAlignment="1">
      <alignment horizontal="left" vertical="top"/>
    </xf>
    <xf numFmtId="0" fontId="0" fillId="0" borderId="0" xfId="0" applyAlignment="1">
      <alignment horizontal="left" vertical="center" indent="13"/>
    </xf>
    <xf numFmtId="0" fontId="52" fillId="0" borderId="0" xfId="0" applyFont="1" applyAlignment="1">
      <alignment horizontal="left" vertical="center" indent="13"/>
    </xf>
    <xf numFmtId="0" fontId="0" fillId="0" borderId="4" xfId="0" applyFill="1" applyBorder="1" applyAlignment="1">
      <alignment vertical="center"/>
    </xf>
    <xf numFmtId="0" fontId="0" fillId="0" borderId="13" xfId="0" applyBorder="1" applyAlignment="1">
      <alignment horizontal="center" vertical="center"/>
    </xf>
    <xf numFmtId="0" fontId="54" fillId="0" borderId="4" xfId="6" applyFont="1" applyBorder="1" applyAlignment="1">
      <alignment horizontal="center" vertical="center"/>
    </xf>
    <xf numFmtId="0" fontId="13" fillId="0" borderId="31" xfId="0" applyFont="1" applyBorder="1" applyAlignment="1">
      <alignment vertical="center" textRotation="91" wrapText="1"/>
    </xf>
    <xf numFmtId="0" fontId="13" fillId="0" borderId="61" xfId="0" applyFont="1" applyBorder="1" applyAlignment="1">
      <alignment vertical="center" textRotation="91" wrapText="1"/>
    </xf>
    <xf numFmtId="0" fontId="13" fillId="0" borderId="59" xfId="0" applyFont="1" applyBorder="1" applyAlignment="1">
      <alignment vertical="center" textRotation="91" wrapText="1"/>
    </xf>
    <xf numFmtId="0" fontId="13" fillId="0" borderId="7" xfId="0" applyFont="1" applyBorder="1" applyAlignment="1">
      <alignment vertical="center" textRotation="91" wrapText="1"/>
    </xf>
    <xf numFmtId="0" fontId="13" fillId="0" borderId="62" xfId="0" applyFont="1" applyBorder="1" applyAlignment="1">
      <alignment vertical="center" textRotation="91" wrapText="1"/>
    </xf>
    <xf numFmtId="164" fontId="55" fillId="0" borderId="0" xfId="0" applyNumberFormat="1" applyFont="1" applyAlignment="1">
      <alignment vertical="center"/>
    </xf>
    <xf numFmtId="0" fontId="13" fillId="4" borderId="0" xfId="0" applyFont="1" applyFill="1" applyAlignment="1">
      <alignment vertical="center"/>
    </xf>
    <xf numFmtId="164" fontId="37" fillId="4" borderId="0" xfId="0" applyNumberFormat="1" applyFont="1" applyFill="1" applyAlignment="1">
      <alignment vertical="center"/>
    </xf>
    <xf numFmtId="164" fontId="13" fillId="4" borderId="0" xfId="0" applyNumberFormat="1" applyFont="1" applyFill="1" applyAlignment="1">
      <alignment vertical="center"/>
    </xf>
    <xf numFmtId="0" fontId="13" fillId="46" borderId="0" xfId="0" applyFont="1" applyFill="1" applyAlignment="1">
      <alignment vertical="center"/>
    </xf>
    <xf numFmtId="164" fontId="37" fillId="46" borderId="0" xfId="0" applyNumberFormat="1" applyFont="1" applyFill="1" applyAlignment="1">
      <alignment vertical="center"/>
    </xf>
    <xf numFmtId="164" fontId="13" fillId="46" borderId="0" xfId="0" applyNumberFormat="1" applyFont="1" applyFill="1" applyAlignment="1">
      <alignment vertical="center"/>
    </xf>
    <xf numFmtId="0" fontId="13" fillId="47" borderId="0" xfId="0" applyFont="1" applyFill="1" applyAlignment="1">
      <alignment vertical="center"/>
    </xf>
    <xf numFmtId="164" fontId="37" fillId="47" borderId="0" xfId="0" applyNumberFormat="1" applyFont="1" applyFill="1" applyAlignment="1">
      <alignment vertical="center"/>
    </xf>
    <xf numFmtId="164" fontId="13" fillId="47" borderId="0" xfId="0" applyNumberFormat="1" applyFont="1" applyFill="1" applyAlignment="1">
      <alignment vertical="center"/>
    </xf>
    <xf numFmtId="0" fontId="13" fillId="25" borderId="0" xfId="0" applyFont="1" applyFill="1" applyAlignment="1">
      <alignment vertical="center"/>
    </xf>
    <xf numFmtId="164" fontId="37" fillId="25" borderId="0" xfId="0" applyNumberFormat="1" applyFont="1" applyFill="1" applyAlignment="1">
      <alignment vertical="center"/>
    </xf>
    <xf numFmtId="164" fontId="13" fillId="25" borderId="0" xfId="0" applyNumberFormat="1" applyFont="1" applyFill="1" applyAlignment="1">
      <alignment vertical="center"/>
    </xf>
    <xf numFmtId="0" fontId="13" fillId="5" borderId="0" xfId="0" applyFont="1" applyFill="1" applyAlignment="1">
      <alignment vertical="center"/>
    </xf>
    <xf numFmtId="164" fontId="37" fillId="5" borderId="0" xfId="0" applyNumberFormat="1" applyFont="1" applyFill="1" applyAlignment="1">
      <alignment vertical="center"/>
    </xf>
    <xf numFmtId="164" fontId="13" fillId="5" borderId="0" xfId="0" applyNumberFormat="1" applyFont="1" applyFill="1" applyAlignment="1">
      <alignment vertical="center"/>
    </xf>
    <xf numFmtId="0" fontId="13" fillId="48" borderId="0" xfId="0" applyFont="1" applyFill="1" applyAlignment="1">
      <alignment vertical="center"/>
    </xf>
    <xf numFmtId="164" fontId="56" fillId="48" borderId="0" xfId="0" applyNumberFormat="1" applyFont="1" applyFill="1" applyAlignment="1">
      <alignment vertical="center"/>
    </xf>
    <xf numFmtId="164" fontId="13" fillId="48" borderId="0" xfId="0" applyNumberFormat="1" applyFont="1" applyFill="1" applyAlignment="1">
      <alignment vertical="center"/>
    </xf>
    <xf numFmtId="0" fontId="13" fillId="19" borderId="0" xfId="0" applyFont="1" applyFill="1" applyAlignment="1">
      <alignment vertical="center"/>
    </xf>
    <xf numFmtId="164" fontId="37" fillId="19" borderId="0" xfId="0" applyNumberFormat="1" applyFont="1" applyFill="1" applyAlignment="1">
      <alignment vertical="center"/>
    </xf>
    <xf numFmtId="164" fontId="13" fillId="19" borderId="0" xfId="0" applyNumberFormat="1" applyFont="1" applyFill="1" applyAlignment="1">
      <alignment vertical="center"/>
    </xf>
    <xf numFmtId="0" fontId="13" fillId="49" borderId="0" xfId="0" applyFont="1" applyFill="1" applyAlignment="1">
      <alignment vertical="center"/>
    </xf>
    <xf numFmtId="164" fontId="37" fillId="49" borderId="0" xfId="0" applyNumberFormat="1" applyFont="1" applyFill="1" applyAlignment="1">
      <alignment vertical="center"/>
    </xf>
    <xf numFmtId="164" fontId="13" fillId="49" borderId="0" xfId="0" applyNumberFormat="1" applyFont="1" applyFill="1" applyAlignment="1">
      <alignment vertical="center"/>
    </xf>
    <xf numFmtId="0" fontId="13" fillId="37" borderId="0" xfId="0" applyFont="1" applyFill="1" applyAlignment="1">
      <alignment vertical="center"/>
    </xf>
    <xf numFmtId="0" fontId="13" fillId="50" borderId="0" xfId="0" applyFont="1" applyFill="1" applyAlignment="1">
      <alignment vertical="center"/>
    </xf>
    <xf numFmtId="164" fontId="37" fillId="50" borderId="0" xfId="0" applyNumberFormat="1" applyFont="1" applyFill="1" applyAlignment="1">
      <alignment vertical="center"/>
    </xf>
    <xf numFmtId="164" fontId="13" fillId="50" borderId="0" xfId="0" applyNumberFormat="1" applyFont="1" applyFill="1" applyAlignment="1">
      <alignment vertical="center"/>
    </xf>
    <xf numFmtId="164" fontId="37" fillId="0" borderId="0" xfId="0" applyNumberFormat="1" applyFont="1" applyAlignment="1">
      <alignment vertical="center"/>
    </xf>
    <xf numFmtId="164" fontId="13" fillId="0" borderId="0" xfId="0" applyNumberFormat="1" applyFont="1" applyAlignment="1">
      <alignment vertical="center"/>
    </xf>
    <xf numFmtId="178" fontId="37" fillId="0" borderId="0" xfId="0" applyNumberFormat="1" applyFont="1" applyAlignment="1">
      <alignment vertical="center"/>
    </xf>
    <xf numFmtId="0" fontId="13" fillId="0" borderId="4" xfId="0" applyFont="1" applyBorder="1" applyAlignment="1">
      <alignment vertical="center"/>
    </xf>
    <xf numFmtId="164" fontId="13" fillId="0" borderId="4" xfId="0" applyNumberFormat="1" applyFont="1" applyBorder="1" applyAlignment="1">
      <alignment vertical="center"/>
    </xf>
    <xf numFmtId="165" fontId="13" fillId="0" borderId="4" xfId="1" applyNumberFormat="1" applyFont="1" applyBorder="1" applyAlignment="1">
      <alignment vertical="center"/>
    </xf>
    <xf numFmtId="165" fontId="13" fillId="0" borderId="0" xfId="0" applyNumberFormat="1" applyFont="1" applyAlignment="1">
      <alignment vertical="center"/>
    </xf>
    <xf numFmtId="164" fontId="37" fillId="0" borderId="4" xfId="0" applyNumberFormat="1" applyFont="1" applyBorder="1" applyAlignment="1">
      <alignment vertical="center"/>
    </xf>
    <xf numFmtId="165" fontId="13" fillId="0" borderId="0" xfId="1" applyNumberFormat="1" applyFont="1" applyAlignment="1">
      <alignment vertical="center"/>
    </xf>
    <xf numFmtId="1" fontId="13" fillId="0" borderId="4" xfId="0" applyNumberFormat="1" applyFont="1" applyBorder="1" applyAlignment="1">
      <alignment vertical="center"/>
    </xf>
    <xf numFmtId="178" fontId="13" fillId="0" borderId="4" xfId="0" applyNumberFormat="1" applyFont="1" applyBorder="1" applyAlignment="1">
      <alignment vertical="center"/>
    </xf>
    <xf numFmtId="0" fontId="13" fillId="4" borderId="57" xfId="0" applyFont="1" applyFill="1" applyBorder="1" applyAlignment="1">
      <alignment horizontal="center" vertical="center"/>
    </xf>
    <xf numFmtId="0" fontId="13" fillId="4" borderId="1" xfId="0" applyFont="1" applyFill="1" applyBorder="1" applyAlignment="1">
      <alignment horizontal="center" vertical="center"/>
    </xf>
    <xf numFmtId="164" fontId="13" fillId="4" borderId="1" xfId="0" applyNumberFormat="1" applyFont="1" applyFill="1" applyBorder="1" applyAlignment="1">
      <alignment horizontal="center" vertical="center"/>
    </xf>
    <xf numFmtId="166" fontId="13" fillId="4" borderId="1" xfId="2" applyNumberFormat="1" applyFont="1" applyFill="1" applyBorder="1" applyAlignment="1">
      <alignment horizontal="center" vertical="center"/>
    </xf>
    <xf numFmtId="168" fontId="13" fillId="4" borderId="1" xfId="2" applyNumberFormat="1" applyFont="1" applyFill="1" applyBorder="1" applyAlignment="1">
      <alignment horizontal="center" vertical="center"/>
    </xf>
    <xf numFmtId="43" fontId="13" fillId="4" borderId="1" xfId="2" applyFont="1" applyFill="1" applyBorder="1" applyAlignment="1">
      <alignment horizontal="center" vertical="center"/>
    </xf>
    <xf numFmtId="0" fontId="13" fillId="4" borderId="5" xfId="0" applyFont="1" applyFill="1" applyBorder="1" applyAlignment="1">
      <alignment horizontal="center" vertical="center"/>
    </xf>
    <xf numFmtId="1" fontId="13" fillId="4" borderId="5" xfId="0" applyNumberFormat="1" applyFont="1" applyFill="1" applyBorder="1" applyAlignment="1">
      <alignment horizontal="center" vertical="center"/>
    </xf>
    <xf numFmtId="168" fontId="13" fillId="4" borderId="4" xfId="0" applyNumberFormat="1" applyFont="1" applyFill="1" applyBorder="1" applyAlignment="1">
      <alignment horizontal="center" vertical="center"/>
    </xf>
    <xf numFmtId="0" fontId="57" fillId="48" borderId="4" xfId="6" applyFont="1" applyFill="1" applyBorder="1" applyAlignment="1">
      <alignment horizontal="center" vertical="center"/>
    </xf>
    <xf numFmtId="0" fontId="34" fillId="48" borderId="57" xfId="0" applyFont="1" applyFill="1" applyBorder="1" applyAlignment="1">
      <alignment horizontal="center" vertical="center"/>
    </xf>
    <xf numFmtId="0" fontId="34" fillId="48" borderId="1" xfId="0" applyFont="1" applyFill="1" applyBorder="1" applyAlignment="1">
      <alignment horizontal="center" vertical="center"/>
    </xf>
    <xf numFmtId="164" fontId="34" fillId="48" borderId="1" xfId="0" applyNumberFormat="1" applyFont="1" applyFill="1" applyBorder="1" applyAlignment="1">
      <alignment horizontal="center" vertical="center"/>
    </xf>
    <xf numFmtId="166" fontId="34" fillId="48" borderId="1" xfId="2" applyNumberFormat="1" applyFont="1" applyFill="1" applyBorder="1" applyAlignment="1">
      <alignment horizontal="center" vertical="center"/>
    </xf>
    <xf numFmtId="168" fontId="34" fillId="48" borderId="1" xfId="2" applyNumberFormat="1" applyFont="1" applyFill="1" applyBorder="1" applyAlignment="1">
      <alignment horizontal="center" vertical="center"/>
    </xf>
    <xf numFmtId="43" fontId="34" fillId="48" borderId="1" xfId="2" applyFont="1" applyFill="1" applyBorder="1" applyAlignment="1">
      <alignment horizontal="center" vertical="center"/>
    </xf>
    <xf numFmtId="0" fontId="34" fillId="48" borderId="5" xfId="0" applyFont="1" applyFill="1" applyBorder="1" applyAlignment="1">
      <alignment horizontal="center" vertical="center"/>
    </xf>
    <xf numFmtId="1" fontId="34" fillId="48" borderId="5" xfId="0" applyNumberFormat="1" applyFont="1" applyFill="1" applyBorder="1" applyAlignment="1">
      <alignment horizontal="center" vertical="center"/>
    </xf>
    <xf numFmtId="168" fontId="34" fillId="48" borderId="4" xfId="0" applyNumberFormat="1" applyFont="1" applyFill="1" applyBorder="1" applyAlignment="1">
      <alignment horizontal="center" vertical="center"/>
    </xf>
    <xf numFmtId="43" fontId="34" fillId="48" borderId="4" xfId="2" applyFont="1" applyFill="1" applyBorder="1" applyAlignment="1">
      <alignment horizontal="center" vertical="center"/>
    </xf>
    <xf numFmtId="0" fontId="34" fillId="48" borderId="0" xfId="0" applyFont="1" applyFill="1" applyAlignment="1">
      <alignment horizontal="center" vertical="center"/>
    </xf>
    <xf numFmtId="167" fontId="34" fillId="48" borderId="4" xfId="2" applyNumberFormat="1" applyFont="1" applyFill="1" applyBorder="1" applyAlignment="1">
      <alignment horizontal="center" vertical="center"/>
    </xf>
    <xf numFmtId="0" fontId="24" fillId="5" borderId="4" xfId="6" applyFill="1" applyBorder="1" applyAlignment="1">
      <alignment horizontal="center" vertical="center"/>
    </xf>
    <xf numFmtId="0" fontId="13" fillId="5" borderId="57" xfId="0" applyFont="1" applyFill="1" applyBorder="1" applyAlignment="1">
      <alignment horizontal="center" vertical="center"/>
    </xf>
    <xf numFmtId="0" fontId="13" fillId="5" borderId="1" xfId="0" applyFont="1" applyFill="1" applyBorder="1" applyAlignment="1">
      <alignment horizontal="center" vertical="center"/>
    </xf>
    <xf numFmtId="164" fontId="13" fillId="5" borderId="1" xfId="0" applyNumberFormat="1" applyFont="1" applyFill="1" applyBorder="1" applyAlignment="1">
      <alignment horizontal="center" vertical="center"/>
    </xf>
    <xf numFmtId="166" fontId="13" fillId="5" borderId="1" xfId="2" applyNumberFormat="1" applyFont="1" applyFill="1" applyBorder="1" applyAlignment="1">
      <alignment horizontal="center" vertical="center"/>
    </xf>
    <xf numFmtId="168" fontId="13" fillId="5" borderId="1" xfId="2" applyNumberFormat="1" applyFont="1" applyFill="1" applyBorder="1" applyAlignment="1">
      <alignment horizontal="center" vertical="center"/>
    </xf>
    <xf numFmtId="43" fontId="13" fillId="5" borderId="1" xfId="2" applyFont="1" applyFill="1" applyBorder="1" applyAlignment="1">
      <alignment horizontal="center" vertical="center"/>
    </xf>
    <xf numFmtId="0" fontId="13" fillId="5" borderId="5" xfId="0" applyFont="1" applyFill="1" applyBorder="1" applyAlignment="1">
      <alignment horizontal="center" vertical="center"/>
    </xf>
    <xf numFmtId="1" fontId="13" fillId="5" borderId="5" xfId="0" applyNumberFormat="1" applyFont="1" applyFill="1" applyBorder="1" applyAlignment="1">
      <alignment horizontal="center" vertical="center"/>
    </xf>
    <xf numFmtId="168" fontId="13" fillId="5" borderId="4" xfId="0" applyNumberFormat="1" applyFont="1" applyFill="1" applyBorder="1" applyAlignment="1">
      <alignment horizontal="center" vertical="center"/>
    </xf>
    <xf numFmtId="43" fontId="13" fillId="5" borderId="4" xfId="2" applyFont="1" applyFill="1" applyBorder="1" applyAlignment="1">
      <alignment horizontal="center" vertical="center"/>
    </xf>
    <xf numFmtId="0" fontId="13" fillId="5" borderId="0" xfId="0" applyFont="1" applyFill="1" applyAlignment="1">
      <alignment horizontal="center" vertical="center"/>
    </xf>
    <xf numFmtId="167" fontId="13" fillId="5" borderId="4" xfId="2" applyNumberFormat="1" applyFont="1" applyFill="1" applyBorder="1" applyAlignment="1">
      <alignment horizontal="center" vertical="center"/>
    </xf>
    <xf numFmtId="0" fontId="24" fillId="51" borderId="4" xfId="6" applyFill="1" applyBorder="1" applyAlignment="1">
      <alignment horizontal="center" vertical="center"/>
    </xf>
    <xf numFmtId="0" fontId="13" fillId="51" borderId="57" xfId="0" applyFont="1" applyFill="1" applyBorder="1" applyAlignment="1">
      <alignment horizontal="center" vertical="center"/>
    </xf>
    <xf numFmtId="0" fontId="13" fillId="51" borderId="1" xfId="0" applyFont="1" applyFill="1" applyBorder="1" applyAlignment="1">
      <alignment horizontal="center" vertical="center"/>
    </xf>
    <xf numFmtId="164" fontId="13" fillId="51" borderId="1" xfId="0" applyNumberFormat="1" applyFont="1" applyFill="1" applyBorder="1" applyAlignment="1">
      <alignment horizontal="center" vertical="center"/>
    </xf>
    <xf numFmtId="166" fontId="13" fillId="51" borderId="1" xfId="2" applyNumberFormat="1" applyFont="1" applyFill="1" applyBorder="1" applyAlignment="1">
      <alignment horizontal="center" vertical="center"/>
    </xf>
    <xf numFmtId="168" fontId="13" fillId="51" borderId="1" xfId="2" applyNumberFormat="1" applyFont="1" applyFill="1" applyBorder="1" applyAlignment="1">
      <alignment horizontal="center" vertical="center"/>
    </xf>
    <xf numFmtId="43" fontId="13" fillId="51" borderId="1" xfId="2" applyFont="1" applyFill="1" applyBorder="1" applyAlignment="1">
      <alignment horizontal="center" vertical="center"/>
    </xf>
    <xf numFmtId="0" fontId="13" fillId="51" borderId="5" xfId="0" applyFont="1" applyFill="1" applyBorder="1" applyAlignment="1">
      <alignment horizontal="center" vertical="center"/>
    </xf>
    <xf numFmtId="1" fontId="13" fillId="51" borderId="5" xfId="0" applyNumberFormat="1" applyFont="1" applyFill="1" applyBorder="1" applyAlignment="1">
      <alignment horizontal="center" vertical="center"/>
    </xf>
    <xf numFmtId="168" fontId="13" fillId="51" borderId="4" xfId="0" applyNumberFormat="1" applyFont="1" applyFill="1" applyBorder="1" applyAlignment="1">
      <alignment horizontal="center" vertical="center"/>
    </xf>
    <xf numFmtId="43" fontId="13" fillId="51" borderId="4" xfId="2" applyFont="1" applyFill="1" applyBorder="1" applyAlignment="1">
      <alignment horizontal="center" vertical="center"/>
    </xf>
    <xf numFmtId="0" fontId="13" fillId="51" borderId="0" xfId="0" applyFont="1" applyFill="1" applyAlignment="1">
      <alignment horizontal="center" vertical="center"/>
    </xf>
    <xf numFmtId="167" fontId="13" fillId="51" borderId="4" xfId="2" applyNumberFormat="1" applyFont="1" applyFill="1" applyBorder="1" applyAlignment="1">
      <alignment horizontal="center" vertical="center"/>
    </xf>
    <xf numFmtId="0" fontId="24" fillId="39" borderId="4" xfId="6" applyFill="1" applyBorder="1" applyAlignment="1">
      <alignment horizontal="center" vertical="center"/>
    </xf>
    <xf numFmtId="0" fontId="13" fillId="39" borderId="57" xfId="0" applyFont="1" applyFill="1" applyBorder="1" applyAlignment="1">
      <alignment horizontal="center" vertical="center"/>
    </xf>
    <xf numFmtId="0" fontId="13" fillId="39" borderId="1" xfId="0" applyFont="1" applyFill="1" applyBorder="1" applyAlignment="1">
      <alignment horizontal="center" vertical="center"/>
    </xf>
    <xf numFmtId="164" fontId="13" fillId="39" borderId="1" xfId="0" applyNumberFormat="1" applyFont="1" applyFill="1" applyBorder="1" applyAlignment="1">
      <alignment horizontal="center" vertical="center"/>
    </xf>
    <xf numFmtId="166" fontId="13" fillId="39" borderId="1" xfId="2" applyNumberFormat="1" applyFont="1" applyFill="1" applyBorder="1" applyAlignment="1">
      <alignment horizontal="center" vertical="center"/>
    </xf>
    <xf numFmtId="168" fontId="13" fillId="39" borderId="1" xfId="2" applyNumberFormat="1" applyFont="1" applyFill="1" applyBorder="1" applyAlignment="1">
      <alignment horizontal="center" vertical="center"/>
    </xf>
    <xf numFmtId="43" fontId="13" fillId="39" borderId="1" xfId="2" applyFont="1" applyFill="1" applyBorder="1" applyAlignment="1">
      <alignment horizontal="center" vertical="center"/>
    </xf>
    <xf numFmtId="0" fontId="13" fillId="39" borderId="5" xfId="0" applyFont="1" applyFill="1" applyBorder="1" applyAlignment="1">
      <alignment horizontal="center" vertical="center"/>
    </xf>
    <xf numFmtId="1" fontId="13" fillId="39" borderId="5" xfId="0" applyNumberFormat="1" applyFont="1" applyFill="1" applyBorder="1" applyAlignment="1">
      <alignment horizontal="center" vertical="center"/>
    </xf>
    <xf numFmtId="168" fontId="13" fillId="39" borderId="4" xfId="0" applyNumberFormat="1" applyFont="1" applyFill="1" applyBorder="1" applyAlignment="1">
      <alignment horizontal="center" vertical="center"/>
    </xf>
    <xf numFmtId="43" fontId="13" fillId="39" borderId="4" xfId="2" applyFont="1" applyFill="1" applyBorder="1" applyAlignment="1">
      <alignment horizontal="center" vertical="center"/>
    </xf>
    <xf numFmtId="0" fontId="13" fillId="39" borderId="0" xfId="0" applyFont="1" applyFill="1" applyAlignment="1">
      <alignment horizontal="center" vertical="center"/>
    </xf>
    <xf numFmtId="167" fontId="13" fillId="39" borderId="4" xfId="2" applyNumberFormat="1" applyFont="1" applyFill="1" applyBorder="1" applyAlignment="1">
      <alignment horizontal="center" vertical="center"/>
    </xf>
    <xf numFmtId="11" fontId="13" fillId="51" borderId="57" xfId="0" applyNumberFormat="1" applyFont="1" applyFill="1" applyBorder="1" applyAlignment="1">
      <alignment horizontal="center" vertical="center"/>
    </xf>
    <xf numFmtId="0" fontId="13" fillId="8" borderId="57" xfId="0" applyFont="1" applyFill="1" applyBorder="1" applyAlignment="1">
      <alignment horizontal="center" vertical="center"/>
    </xf>
    <xf numFmtId="0" fontId="13" fillId="8" borderId="1" xfId="0" applyFont="1" applyFill="1" applyBorder="1" applyAlignment="1">
      <alignment horizontal="center" vertical="center"/>
    </xf>
    <xf numFmtId="164" fontId="13" fillId="8" borderId="1" xfId="0" applyNumberFormat="1" applyFont="1" applyFill="1" applyBorder="1" applyAlignment="1">
      <alignment horizontal="center" vertical="center"/>
    </xf>
    <xf numFmtId="166" fontId="13" fillId="8" borderId="1" xfId="2" applyNumberFormat="1" applyFont="1" applyFill="1" applyBorder="1" applyAlignment="1">
      <alignment horizontal="center" vertical="center"/>
    </xf>
    <xf numFmtId="168" fontId="13" fillId="8" borderId="1" xfId="2" applyNumberFormat="1" applyFont="1" applyFill="1" applyBorder="1" applyAlignment="1">
      <alignment horizontal="center" vertical="center"/>
    </xf>
    <xf numFmtId="43" fontId="13" fillId="8" borderId="1" xfId="2" applyFont="1" applyFill="1" applyBorder="1" applyAlignment="1">
      <alignment horizontal="center" vertical="center"/>
    </xf>
    <xf numFmtId="0" fontId="13" fillId="8" borderId="5" xfId="0" applyFont="1" applyFill="1" applyBorder="1" applyAlignment="1">
      <alignment horizontal="center" vertical="center"/>
    </xf>
    <xf numFmtId="1" fontId="13" fillId="8" borderId="5" xfId="0" applyNumberFormat="1" applyFont="1" applyFill="1" applyBorder="1" applyAlignment="1">
      <alignment horizontal="center" vertical="center"/>
    </xf>
    <xf numFmtId="168" fontId="13" fillId="8" borderId="4" xfId="0" applyNumberFormat="1" applyFont="1" applyFill="1" applyBorder="1" applyAlignment="1">
      <alignment horizontal="center" vertical="center"/>
    </xf>
    <xf numFmtId="43" fontId="13" fillId="8" borderId="4" xfId="2" applyFont="1" applyFill="1" applyBorder="1" applyAlignment="1">
      <alignment horizontal="center" vertical="center"/>
    </xf>
    <xf numFmtId="0" fontId="13" fillId="8" borderId="0" xfId="0" applyFont="1" applyFill="1" applyAlignment="1">
      <alignment horizontal="center" vertical="center"/>
    </xf>
    <xf numFmtId="167" fontId="13" fillId="8" borderId="4" xfId="2" applyNumberFormat="1" applyFont="1" applyFill="1" applyBorder="1" applyAlignment="1">
      <alignment horizontal="center" vertical="center"/>
    </xf>
    <xf numFmtId="0" fontId="24" fillId="52" borderId="4" xfId="6" applyFill="1" applyBorder="1" applyAlignment="1">
      <alignment horizontal="center" vertical="center"/>
    </xf>
    <xf numFmtId="0" fontId="13" fillId="52" borderId="57" xfId="0" applyFont="1" applyFill="1" applyBorder="1" applyAlignment="1">
      <alignment horizontal="center" vertical="center"/>
    </xf>
    <xf numFmtId="0" fontId="13" fillId="52" borderId="1" xfId="0" applyFont="1" applyFill="1" applyBorder="1" applyAlignment="1">
      <alignment horizontal="center" vertical="center"/>
    </xf>
    <xf numFmtId="164" fontId="13" fillId="52" borderId="1" xfId="0" applyNumberFormat="1" applyFont="1" applyFill="1" applyBorder="1" applyAlignment="1">
      <alignment horizontal="center" vertical="center"/>
    </xf>
    <xf numFmtId="166" fontId="13" fillId="52" borderId="1" xfId="2" applyNumberFormat="1" applyFont="1" applyFill="1" applyBorder="1" applyAlignment="1">
      <alignment horizontal="center" vertical="center"/>
    </xf>
    <xf numFmtId="168" fontId="13" fillId="52" borderId="1" xfId="2" applyNumberFormat="1" applyFont="1" applyFill="1" applyBorder="1" applyAlignment="1">
      <alignment horizontal="center" vertical="center"/>
    </xf>
    <xf numFmtId="43" fontId="13" fillId="52" borderId="1" xfId="2" applyFont="1" applyFill="1" applyBorder="1" applyAlignment="1">
      <alignment horizontal="center" vertical="center"/>
    </xf>
    <xf numFmtId="0" fontId="13" fillId="52" borderId="5" xfId="0" applyFont="1" applyFill="1" applyBorder="1" applyAlignment="1">
      <alignment horizontal="center" vertical="center"/>
    </xf>
    <xf numFmtId="1" fontId="13" fillId="52" borderId="5" xfId="0" applyNumberFormat="1" applyFont="1" applyFill="1" applyBorder="1" applyAlignment="1">
      <alignment horizontal="center" vertical="center"/>
    </xf>
    <xf numFmtId="168" fontId="13" fillId="52" borderId="4" xfId="0" applyNumberFormat="1" applyFont="1" applyFill="1" applyBorder="1" applyAlignment="1">
      <alignment horizontal="center" vertical="center"/>
    </xf>
    <xf numFmtId="43" fontId="13" fillId="52" borderId="4" xfId="2" applyFont="1" applyFill="1" applyBorder="1" applyAlignment="1">
      <alignment horizontal="center" vertical="center"/>
    </xf>
    <xf numFmtId="0" fontId="13" fillId="52" borderId="0" xfId="0" applyFont="1" applyFill="1" applyAlignment="1">
      <alignment horizontal="center" vertical="center"/>
    </xf>
    <xf numFmtId="167" fontId="13" fillId="52" borderId="4" xfId="2" applyNumberFormat="1" applyFont="1" applyFill="1" applyBorder="1" applyAlignment="1">
      <alignment horizontal="center" vertical="center"/>
    </xf>
    <xf numFmtId="0" fontId="24" fillId="19" borderId="4" xfId="6" applyFill="1" applyBorder="1" applyAlignment="1">
      <alignment horizontal="center" vertical="center"/>
    </xf>
    <xf numFmtId="0" fontId="13" fillId="19" borderId="57" xfId="0" applyFont="1" applyFill="1" applyBorder="1" applyAlignment="1">
      <alignment horizontal="center" vertical="center"/>
    </xf>
    <xf numFmtId="0" fontId="13" fillId="19" borderId="1" xfId="0" applyFont="1" applyFill="1" applyBorder="1" applyAlignment="1">
      <alignment horizontal="center" vertical="center"/>
    </xf>
    <xf numFmtId="164" fontId="13" fillId="19" borderId="1" xfId="0" applyNumberFormat="1" applyFont="1" applyFill="1" applyBorder="1" applyAlignment="1">
      <alignment horizontal="center" vertical="center"/>
    </xf>
    <xf numFmtId="166" fontId="13" fillId="19" borderId="1" xfId="2" applyNumberFormat="1" applyFont="1" applyFill="1" applyBorder="1" applyAlignment="1">
      <alignment horizontal="center" vertical="center"/>
    </xf>
    <xf numFmtId="168" fontId="13" fillId="19" borderId="1" xfId="2" applyNumberFormat="1" applyFont="1" applyFill="1" applyBorder="1" applyAlignment="1">
      <alignment horizontal="center" vertical="center"/>
    </xf>
    <xf numFmtId="43" fontId="13" fillId="19" borderId="1" xfId="2" applyFont="1" applyFill="1" applyBorder="1" applyAlignment="1">
      <alignment horizontal="center" vertical="center"/>
    </xf>
    <xf numFmtId="0" fontId="13" fillId="19" borderId="5" xfId="0" applyFont="1" applyFill="1" applyBorder="1" applyAlignment="1">
      <alignment horizontal="center" vertical="center"/>
    </xf>
    <xf numFmtId="1" fontId="13" fillId="19" borderId="5" xfId="0" applyNumberFormat="1" applyFont="1" applyFill="1" applyBorder="1" applyAlignment="1">
      <alignment horizontal="center" vertical="center"/>
    </xf>
    <xf numFmtId="168" fontId="13" fillId="19" borderId="4" xfId="0" applyNumberFormat="1" applyFont="1" applyFill="1" applyBorder="1" applyAlignment="1">
      <alignment horizontal="center" vertical="center"/>
    </xf>
    <xf numFmtId="43" fontId="13" fillId="19" borderId="4" xfId="2" applyFont="1" applyFill="1" applyBorder="1" applyAlignment="1">
      <alignment horizontal="center" vertical="center"/>
    </xf>
    <xf numFmtId="0" fontId="13" fillId="19" borderId="0" xfId="0" applyFont="1" applyFill="1" applyAlignment="1">
      <alignment horizontal="center" vertical="center"/>
    </xf>
    <xf numFmtId="167" fontId="13" fillId="19" borderId="4" xfId="2" applyNumberFormat="1" applyFont="1" applyFill="1" applyBorder="1" applyAlignment="1">
      <alignment horizontal="center" vertical="center"/>
    </xf>
    <xf numFmtId="0" fontId="13" fillId="19" borderId="0" xfId="0" applyFont="1" applyFill="1" applyAlignment="1">
      <alignment vertical="justify"/>
    </xf>
    <xf numFmtId="0" fontId="13" fillId="29" borderId="57" xfId="0" applyFont="1" applyFill="1" applyBorder="1" applyAlignment="1">
      <alignment horizontal="center" vertical="center"/>
    </xf>
    <xf numFmtId="0" fontId="13" fillId="29" borderId="1" xfId="0" applyFont="1" applyFill="1" applyBorder="1" applyAlignment="1">
      <alignment horizontal="center" vertical="center"/>
    </xf>
    <xf numFmtId="164" fontId="13" fillId="29" borderId="1" xfId="0" applyNumberFormat="1" applyFont="1" applyFill="1" applyBorder="1" applyAlignment="1">
      <alignment horizontal="center" vertical="center"/>
    </xf>
    <xf numFmtId="166" fontId="13" fillId="29" borderId="1" xfId="2" applyNumberFormat="1" applyFont="1" applyFill="1" applyBorder="1" applyAlignment="1">
      <alignment horizontal="center" vertical="center"/>
    </xf>
    <xf numFmtId="168" fontId="13" fillId="29" borderId="1" xfId="2" applyNumberFormat="1" applyFont="1" applyFill="1" applyBorder="1" applyAlignment="1">
      <alignment horizontal="center" vertical="center"/>
    </xf>
    <xf numFmtId="43" fontId="13" fillId="29" borderId="1" xfId="2" applyFont="1" applyFill="1" applyBorder="1" applyAlignment="1">
      <alignment horizontal="center" vertical="center"/>
    </xf>
    <xf numFmtId="0" fontId="13" fillId="29" borderId="5" xfId="0" applyFont="1" applyFill="1" applyBorder="1" applyAlignment="1">
      <alignment horizontal="center" vertical="center"/>
    </xf>
    <xf numFmtId="1" fontId="13" fillId="29" borderId="5" xfId="0" applyNumberFormat="1" applyFont="1" applyFill="1" applyBorder="1" applyAlignment="1">
      <alignment horizontal="center" vertical="center"/>
    </xf>
    <xf numFmtId="168" fontId="13" fillId="29" borderId="4" xfId="0" applyNumberFormat="1" applyFont="1" applyFill="1" applyBorder="1" applyAlignment="1">
      <alignment horizontal="center" vertical="center"/>
    </xf>
    <xf numFmtId="43" fontId="13" fillId="29" borderId="4" xfId="2" applyFont="1" applyFill="1" applyBorder="1" applyAlignment="1">
      <alignment horizontal="center" vertical="center"/>
    </xf>
    <xf numFmtId="0" fontId="13" fillId="29" borderId="0" xfId="0" applyFont="1" applyFill="1" applyAlignment="1">
      <alignment horizontal="center" vertical="center"/>
    </xf>
    <xf numFmtId="167" fontId="13" fillId="29" borderId="4" xfId="2" applyNumberFormat="1" applyFont="1" applyFill="1" applyBorder="1" applyAlignment="1">
      <alignment horizontal="center" vertical="center"/>
    </xf>
    <xf numFmtId="0" fontId="13" fillId="29" borderId="0" xfId="0" applyFont="1" applyFill="1" applyAlignment="1">
      <alignment vertical="justify"/>
    </xf>
    <xf numFmtId="0" fontId="24" fillId="6" borderId="4" xfId="6" applyFill="1" applyBorder="1" applyAlignment="1">
      <alignment horizontal="center" vertical="center"/>
    </xf>
    <xf numFmtId="0" fontId="13" fillId="6" borderId="57" xfId="0" applyFont="1" applyFill="1" applyBorder="1" applyAlignment="1">
      <alignment horizontal="center" vertical="center"/>
    </xf>
    <xf numFmtId="0" fontId="13" fillId="6" borderId="1" xfId="0" applyFont="1" applyFill="1" applyBorder="1" applyAlignment="1">
      <alignment horizontal="center" vertical="center"/>
    </xf>
    <xf numFmtId="164" fontId="13" fillId="6" borderId="1" xfId="0" applyNumberFormat="1" applyFont="1" applyFill="1" applyBorder="1" applyAlignment="1">
      <alignment horizontal="center" vertical="center"/>
    </xf>
    <xf numFmtId="166" fontId="13" fillId="6" borderId="1" xfId="2" applyNumberFormat="1" applyFont="1" applyFill="1" applyBorder="1" applyAlignment="1">
      <alignment horizontal="center" vertical="center"/>
    </xf>
    <xf numFmtId="168" fontId="13" fillId="6" borderId="1" xfId="2" applyNumberFormat="1" applyFont="1" applyFill="1" applyBorder="1" applyAlignment="1">
      <alignment horizontal="center" vertical="center"/>
    </xf>
    <xf numFmtId="43" fontId="13" fillId="6" borderId="1" xfId="2" applyFont="1" applyFill="1" applyBorder="1" applyAlignment="1">
      <alignment horizontal="center" vertical="center"/>
    </xf>
    <xf numFmtId="0" fontId="13" fillId="6" borderId="5" xfId="0" applyFont="1" applyFill="1" applyBorder="1" applyAlignment="1">
      <alignment horizontal="center" vertical="center"/>
    </xf>
    <xf numFmtId="1" fontId="13" fillId="6" borderId="5" xfId="0" applyNumberFormat="1" applyFont="1" applyFill="1" applyBorder="1" applyAlignment="1">
      <alignment horizontal="center" vertical="center"/>
    </xf>
    <xf numFmtId="168" fontId="13" fillId="6" borderId="4" xfId="0" applyNumberFormat="1" applyFont="1" applyFill="1" applyBorder="1" applyAlignment="1">
      <alignment horizontal="center" vertical="center"/>
    </xf>
    <xf numFmtId="43" fontId="13" fillId="6" borderId="4" xfId="2" applyFont="1" applyFill="1" applyBorder="1" applyAlignment="1">
      <alignment horizontal="center" vertical="center"/>
    </xf>
    <xf numFmtId="0" fontId="13" fillId="6" borderId="0" xfId="0" applyFont="1" applyFill="1" applyAlignment="1">
      <alignment horizontal="center" vertical="center"/>
    </xf>
    <xf numFmtId="167" fontId="13" fillId="6" borderId="4" xfId="2" applyNumberFormat="1" applyFont="1" applyFill="1" applyBorder="1" applyAlignment="1">
      <alignment horizontal="center" vertical="center"/>
    </xf>
    <xf numFmtId="0" fontId="24" fillId="53" borderId="4" xfId="6" applyFill="1" applyBorder="1" applyAlignment="1">
      <alignment horizontal="center" vertical="center"/>
    </xf>
    <xf numFmtId="0" fontId="13" fillId="53" borderId="57" xfId="0" applyFont="1" applyFill="1" applyBorder="1" applyAlignment="1">
      <alignment horizontal="center" vertical="center"/>
    </xf>
    <xf numFmtId="0" fontId="13" fillId="53" borderId="1" xfId="0" applyFont="1" applyFill="1" applyBorder="1" applyAlignment="1">
      <alignment horizontal="center" vertical="center"/>
    </xf>
    <xf numFmtId="164" fontId="13" fillId="53" borderId="1" xfId="0" applyNumberFormat="1" applyFont="1" applyFill="1" applyBorder="1" applyAlignment="1">
      <alignment horizontal="center" vertical="center"/>
    </xf>
    <xf numFmtId="166" fontId="13" fillId="53" borderId="1" xfId="2" applyNumberFormat="1" applyFont="1" applyFill="1" applyBorder="1" applyAlignment="1">
      <alignment horizontal="center" vertical="center"/>
    </xf>
    <xf numFmtId="168" fontId="13" fillId="53" borderId="1" xfId="2" applyNumberFormat="1" applyFont="1" applyFill="1" applyBorder="1" applyAlignment="1">
      <alignment horizontal="center" vertical="center"/>
    </xf>
    <xf numFmtId="43" fontId="13" fillId="53" borderId="1" xfId="2" applyFont="1" applyFill="1" applyBorder="1" applyAlignment="1">
      <alignment horizontal="center" vertical="center"/>
    </xf>
    <xf numFmtId="0" fontId="13" fillId="53" borderId="5" xfId="0" applyFont="1" applyFill="1" applyBorder="1" applyAlignment="1">
      <alignment horizontal="center" vertical="center"/>
    </xf>
    <xf numFmtId="1" fontId="13" fillId="53" borderId="5" xfId="0" applyNumberFormat="1" applyFont="1" applyFill="1" applyBorder="1" applyAlignment="1">
      <alignment horizontal="center" vertical="center"/>
    </xf>
    <xf numFmtId="168" fontId="13" fillId="53" borderId="4" xfId="0" applyNumberFormat="1" applyFont="1" applyFill="1" applyBorder="1" applyAlignment="1">
      <alignment horizontal="center" vertical="center"/>
    </xf>
    <xf numFmtId="43" fontId="13" fillId="53" borderId="4" xfId="2" applyFont="1" applyFill="1" applyBorder="1" applyAlignment="1">
      <alignment horizontal="center" vertical="center"/>
    </xf>
    <xf numFmtId="0" fontId="13" fillId="53" borderId="0" xfId="0" applyFont="1" applyFill="1" applyAlignment="1">
      <alignment horizontal="center" vertical="center"/>
    </xf>
    <xf numFmtId="167" fontId="13" fillId="53" borderId="4" xfId="2" applyNumberFormat="1" applyFont="1" applyFill="1" applyBorder="1" applyAlignment="1">
      <alignment horizontal="center" vertical="center"/>
    </xf>
    <xf numFmtId="0" fontId="13" fillId="6" borderId="0" xfId="0" applyFont="1" applyFill="1" applyAlignment="1">
      <alignment vertical="justify"/>
    </xf>
    <xf numFmtId="0" fontId="13" fillId="39" borderId="4" xfId="0" applyNumberFormat="1" applyFont="1" applyFill="1" applyBorder="1" applyAlignment="1">
      <alignment horizontal="center" vertical="center"/>
    </xf>
    <xf numFmtId="0" fontId="13" fillId="39" borderId="0" xfId="0" applyFont="1" applyFill="1" applyAlignment="1">
      <alignment vertical="justify"/>
    </xf>
    <xf numFmtId="178" fontId="37" fillId="4" borderId="0" xfId="0" applyNumberFormat="1" applyFont="1" applyFill="1" applyAlignment="1">
      <alignment vertical="center"/>
    </xf>
    <xf numFmtId="178" fontId="37" fillId="46" borderId="0" xfId="0" applyNumberFormat="1" applyFont="1" applyFill="1" applyAlignment="1">
      <alignment vertical="center"/>
    </xf>
    <xf numFmtId="178" fontId="37" fillId="47" borderId="0" xfId="0" applyNumberFormat="1" applyFont="1" applyFill="1" applyAlignment="1">
      <alignment vertical="center"/>
    </xf>
    <xf numFmtId="178" fontId="37" fillId="25" borderId="0" xfId="0" applyNumberFormat="1" applyFont="1" applyFill="1" applyAlignment="1">
      <alignment vertical="center"/>
    </xf>
    <xf numFmtId="178" fontId="37" fillId="5" borderId="0" xfId="0" applyNumberFormat="1" applyFont="1" applyFill="1" applyAlignment="1">
      <alignment vertical="center"/>
    </xf>
    <xf numFmtId="178" fontId="56" fillId="48" borderId="0" xfId="0" applyNumberFormat="1" applyFont="1" applyFill="1" applyAlignment="1">
      <alignment vertical="center"/>
    </xf>
    <xf numFmtId="178" fontId="37" fillId="19" borderId="0" xfId="0" applyNumberFormat="1" applyFont="1" applyFill="1" applyAlignment="1">
      <alignment vertical="center"/>
    </xf>
    <xf numFmtId="178" fontId="37" fillId="49" borderId="0" xfId="0" applyNumberFormat="1" applyFont="1" applyFill="1" applyAlignment="1">
      <alignment vertical="center"/>
    </xf>
    <xf numFmtId="178" fontId="37" fillId="50" borderId="0" xfId="0" applyNumberFormat="1" applyFont="1" applyFill="1" applyAlignment="1">
      <alignment vertical="center"/>
    </xf>
    <xf numFmtId="0" fontId="58" fillId="0" borderId="0" xfId="0" applyFont="1"/>
    <xf numFmtId="0" fontId="0" fillId="8" borderId="26" xfId="0" applyFill="1" applyBorder="1" applyAlignment="1">
      <alignment horizontal="center" vertical="center"/>
    </xf>
    <xf numFmtId="0" fontId="0" fillId="8" borderId="29" xfId="0" applyFill="1" applyBorder="1" applyAlignment="1">
      <alignment horizontal="center" vertical="center"/>
    </xf>
    <xf numFmtId="0" fontId="0" fillId="8" borderId="30" xfId="0" applyFill="1" applyBorder="1" applyAlignment="1">
      <alignment horizontal="center" vertical="center"/>
    </xf>
    <xf numFmtId="0" fontId="0" fillId="51" borderId="26" xfId="0" applyFill="1" applyBorder="1" applyAlignment="1">
      <alignment horizontal="center" vertical="center"/>
    </xf>
    <xf numFmtId="0" fontId="0" fillId="51" borderId="29" xfId="0" applyFill="1" applyBorder="1" applyAlignment="1">
      <alignment horizontal="center" vertical="center"/>
    </xf>
    <xf numFmtId="0" fontId="0" fillId="51" borderId="30" xfId="0" applyFill="1" applyBorder="1" applyAlignment="1">
      <alignment horizontal="center" vertical="center"/>
    </xf>
    <xf numFmtId="164" fontId="55" fillId="19" borderId="1" xfId="0" applyNumberFormat="1" applyFont="1" applyFill="1" applyBorder="1" applyAlignment="1">
      <alignment horizontal="center" vertical="center"/>
    </xf>
    <xf numFmtId="0" fontId="0" fillId="0" borderId="4" xfId="0" applyBorder="1" applyAlignment="1">
      <alignment horizontal="center" vertical="center"/>
    </xf>
    <xf numFmtId="0" fontId="16" fillId="4" borderId="4" xfId="5" applyFont="1" applyFill="1" applyBorder="1" applyAlignment="1">
      <alignment horizontal="center"/>
    </xf>
    <xf numFmtId="0" fontId="3" fillId="0" borderId="4" xfId="0" applyFont="1" applyFill="1" applyBorder="1" applyAlignment="1">
      <alignment horizontal="center" wrapText="1"/>
    </xf>
    <xf numFmtId="0" fontId="24" fillId="0" borderId="0" xfId="6" applyAlignment="1">
      <alignment horizontal="center"/>
    </xf>
    <xf numFmtId="0" fontId="16" fillId="3" borderId="4" xfId="5" applyFont="1" applyFill="1" applyBorder="1" applyAlignment="1">
      <alignment horizontal="center"/>
    </xf>
    <xf numFmtId="0" fontId="0" fillId="8" borderId="4" xfId="0" applyFill="1" applyBorder="1" applyAlignment="1">
      <alignment horizontal="center" vertical="center"/>
    </xf>
    <xf numFmtId="0" fontId="0" fillId="29" borderId="60" xfId="0" applyFill="1" applyBorder="1" applyAlignment="1">
      <alignment horizontal="center" vertical="center"/>
    </xf>
    <xf numFmtId="0" fontId="0" fillId="29" borderId="31" xfId="0" applyFill="1" applyBorder="1" applyAlignment="1">
      <alignment horizontal="center" vertical="center"/>
    </xf>
    <xf numFmtId="0" fontId="5" fillId="0" borderId="4" xfId="0" applyFont="1" applyBorder="1" applyAlignment="1">
      <alignment horizontal="center" vertical="center"/>
    </xf>
    <xf numFmtId="0" fontId="0" fillId="29" borderId="10" xfId="0" applyFill="1" applyBorder="1" applyAlignment="1">
      <alignment horizontal="center" vertical="center"/>
    </xf>
    <xf numFmtId="0" fontId="0" fillId="29" borderId="15" xfId="0" applyFill="1" applyBorder="1" applyAlignment="1">
      <alignment horizontal="center" vertical="center"/>
    </xf>
    <xf numFmtId="0" fontId="0" fillId="29" borderId="14" xfId="0" applyFill="1" applyBorder="1" applyAlignment="1">
      <alignment horizontal="center" vertical="center"/>
    </xf>
    <xf numFmtId="0" fontId="0" fillId="4" borderId="4" xfId="0" applyFill="1" applyBorder="1" applyAlignment="1">
      <alignment horizontal="center" vertical="center"/>
    </xf>
    <xf numFmtId="0" fontId="0" fillId="29" borderId="56" xfId="0" applyFill="1" applyBorder="1" applyAlignment="1">
      <alignment horizontal="center" vertical="center"/>
    </xf>
    <xf numFmtId="0" fontId="0" fillId="29" borderId="0" xfId="0" applyFill="1" applyBorder="1" applyAlignment="1">
      <alignment horizontal="center" vertical="center"/>
    </xf>
    <xf numFmtId="0" fontId="5" fillId="0" borderId="6" xfId="0" applyFont="1" applyBorder="1" applyAlignment="1">
      <alignment horizontal="center" vertical="center"/>
    </xf>
    <xf numFmtId="0" fontId="5" fillId="0" borderId="8" xfId="0" applyFont="1" applyBorder="1" applyAlignment="1">
      <alignment horizontal="center" vertical="center"/>
    </xf>
    <xf numFmtId="0" fontId="0" fillId="29" borderId="4" xfId="0" applyFill="1" applyBorder="1" applyAlignment="1">
      <alignment horizontal="center" vertical="center"/>
    </xf>
    <xf numFmtId="164" fontId="13" fillId="0" borderId="0" xfId="0" applyNumberFormat="1" applyFont="1" applyAlignment="1">
      <alignment horizontal="left" vertical="center"/>
    </xf>
    <xf numFmtId="0" fontId="13" fillId="0" borderId="13" xfId="0" applyFont="1" applyBorder="1" applyAlignment="1">
      <alignment horizontal="center" vertical="center"/>
    </xf>
    <xf numFmtId="0" fontId="13" fillId="0" borderId="4" xfId="0" applyFont="1" applyBorder="1" applyAlignment="1">
      <alignment horizontal="center" vertical="center"/>
    </xf>
    <xf numFmtId="0" fontId="28" fillId="30" borderId="0" xfId="0" applyFont="1" applyFill="1" applyAlignment="1">
      <alignment horizontal="center"/>
    </xf>
    <xf numFmtId="0" fontId="28" fillId="31" borderId="0" xfId="0" applyFont="1" applyFill="1" applyAlignment="1">
      <alignment horizontal="center"/>
    </xf>
    <xf numFmtId="0" fontId="28" fillId="25" borderId="0" xfId="0" applyFont="1" applyFill="1" applyAlignment="1">
      <alignment horizont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58" xfId="0" applyFont="1" applyBorder="1" applyAlignment="1">
      <alignment horizontal="center"/>
    </xf>
    <xf numFmtId="0" fontId="24" fillId="0" borderId="4" xfId="6" applyBorder="1" applyAlignment="1">
      <alignment horizontal="center" vertical="center"/>
    </xf>
    <xf numFmtId="0" fontId="43" fillId="0" borderId="4" xfId="0" applyFont="1" applyBorder="1" applyAlignment="1">
      <alignment horizontal="center" vertical="center"/>
    </xf>
    <xf numFmtId="0" fontId="0" fillId="34" borderId="4" xfId="0" applyFill="1" applyBorder="1" applyAlignment="1">
      <alignment horizontal="left"/>
    </xf>
    <xf numFmtId="0" fontId="0" fillId="0" borderId="10" xfId="0" applyBorder="1" applyAlignment="1">
      <alignment horizontal="left" vertical="center"/>
    </xf>
    <xf numFmtId="0" fontId="0" fillId="0" borderId="15" xfId="0" applyBorder="1" applyAlignment="1">
      <alignment horizontal="left" vertical="center"/>
    </xf>
    <xf numFmtId="0" fontId="0" fillId="0" borderId="14" xfId="0" applyBorder="1" applyAlignment="1">
      <alignment horizontal="left" vertical="center"/>
    </xf>
    <xf numFmtId="0" fontId="0" fillId="33" borderId="4" xfId="0" applyFill="1" applyBorder="1" applyAlignment="1">
      <alignment horizontal="left"/>
    </xf>
    <xf numFmtId="0" fontId="35" fillId="20" borderId="4" xfId="0" applyFont="1" applyFill="1" applyBorder="1" applyAlignment="1">
      <alignment horizontal="center" vertical="center"/>
    </xf>
    <xf numFmtId="0" fontId="19" fillId="6" borderId="4" xfId="0" applyFont="1" applyFill="1" applyBorder="1" applyAlignment="1">
      <alignment horizontal="center" vertical="center"/>
    </xf>
    <xf numFmtId="0" fontId="24" fillId="0" borderId="4" xfId="6" applyBorder="1" applyAlignment="1">
      <alignment horizontal="center"/>
    </xf>
    <xf numFmtId="0" fontId="12" fillId="0" borderId="4" xfId="0" applyFont="1" applyBorder="1" applyAlignment="1">
      <alignment horizontal="center" vertical="center"/>
    </xf>
    <xf numFmtId="0" fontId="13" fillId="0" borderId="4" xfId="0" applyFont="1" applyBorder="1" applyAlignment="1">
      <alignment horizontal="center" textRotation="255" wrapText="1"/>
    </xf>
    <xf numFmtId="0" fontId="7" fillId="0" borderId="4" xfId="0" applyFont="1" applyBorder="1" applyAlignment="1">
      <alignment horizontal="left" vertical="top" wrapText="1"/>
    </xf>
    <xf numFmtId="0" fontId="0" fillId="0" borderId="4" xfId="0" applyBorder="1" applyAlignment="1">
      <alignment horizontal="right" vertical="center"/>
    </xf>
    <xf numFmtId="164" fontId="3" fillId="0" borderId="4" xfId="0" applyNumberFormat="1" applyFont="1" applyBorder="1" applyAlignment="1">
      <alignment horizontal="right" vertical="center"/>
    </xf>
    <xf numFmtId="0" fontId="4" fillId="0" borderId="0" xfId="0" applyFont="1" applyAlignment="1">
      <alignment horizontal="center"/>
    </xf>
    <xf numFmtId="0" fontId="12" fillId="4" borderId="4" xfId="0" applyFont="1" applyFill="1" applyBorder="1" applyAlignment="1">
      <alignment horizontal="center" vertical="center"/>
    </xf>
    <xf numFmtId="0" fontId="8" fillId="0" borderId="4" xfId="0" applyFont="1" applyBorder="1" applyAlignment="1">
      <alignment horizontal="left" vertical="center"/>
    </xf>
    <xf numFmtId="0" fontId="41" fillId="0" borderId="4" xfId="0" applyFont="1" applyBorder="1" applyAlignment="1">
      <alignment horizontal="center"/>
    </xf>
    <xf numFmtId="0" fontId="11" fillId="0" borderId="4" xfId="0" applyFont="1" applyBorder="1" applyAlignment="1">
      <alignment horizontal="center"/>
    </xf>
    <xf numFmtId="3" fontId="10" fillId="9" borderId="4" xfId="0" applyNumberFormat="1" applyFont="1" applyFill="1" applyBorder="1" applyAlignment="1">
      <alignment horizontal="right" vertical="center"/>
    </xf>
    <xf numFmtId="0" fontId="10" fillId="9" borderId="4" xfId="0" applyFont="1" applyFill="1" applyBorder="1" applyAlignment="1">
      <alignment horizontal="right" vertical="center"/>
    </xf>
    <xf numFmtId="0" fontId="19" fillId="0" borderId="4" xfId="0" applyFont="1" applyBorder="1" applyAlignment="1">
      <alignment horizontal="left" vertical="center" wrapText="1"/>
    </xf>
    <xf numFmtId="0" fontId="19" fillId="0" borderId="4" xfId="0" applyFont="1" applyBorder="1" applyAlignment="1">
      <alignment horizontal="left" vertical="center"/>
    </xf>
    <xf numFmtId="0" fontId="3" fillId="0" borderId="4" xfId="0" applyFont="1" applyBorder="1" applyAlignment="1">
      <alignment horizontal="right" vertical="center"/>
    </xf>
    <xf numFmtId="0" fontId="13" fillId="0" borderId="4" xfId="0" applyFont="1" applyBorder="1" applyAlignment="1">
      <alignment horizontal="right" vertical="center"/>
    </xf>
    <xf numFmtId="164" fontId="13" fillId="0" borderId="4" xfId="0" applyNumberFormat="1" applyFont="1" applyBorder="1" applyAlignment="1">
      <alignment horizontal="right" vertical="center"/>
    </xf>
    <xf numFmtId="3" fontId="10" fillId="15" borderId="4" xfId="0" applyNumberFormat="1" applyFont="1" applyFill="1" applyBorder="1" applyAlignment="1">
      <alignment horizontal="right" vertical="center"/>
    </xf>
    <xf numFmtId="0" fontId="10" fillId="15" borderId="4" xfId="0" applyFont="1" applyFill="1" applyBorder="1" applyAlignment="1">
      <alignment horizontal="right" vertical="center"/>
    </xf>
    <xf numFmtId="0" fontId="21" fillId="0" borderId="4" xfId="0" applyFont="1" applyBorder="1" applyAlignment="1">
      <alignment horizontal="center" vertical="center"/>
    </xf>
    <xf numFmtId="168" fontId="3" fillId="0" borderId="4" xfId="0" applyNumberFormat="1" applyFont="1" applyBorder="1" applyAlignment="1">
      <alignment horizontal="right" vertical="center"/>
    </xf>
    <xf numFmtId="43" fontId="3" fillId="0" borderId="4" xfId="2" applyNumberFormat="1" applyFont="1" applyBorder="1" applyAlignment="1">
      <alignment horizontal="right" vertical="center"/>
    </xf>
    <xf numFmtId="2" fontId="10" fillId="14" borderId="4" xfId="0" applyNumberFormat="1" applyFont="1" applyFill="1" applyBorder="1" applyAlignment="1">
      <alignment horizontal="right" vertical="center"/>
    </xf>
    <xf numFmtId="9" fontId="13" fillId="0" borderId="4" xfId="1" applyFont="1" applyBorder="1" applyAlignment="1">
      <alignment horizontal="right" vertical="center"/>
    </xf>
    <xf numFmtId="165" fontId="13" fillId="0" borderId="14" xfId="1" applyNumberFormat="1" applyFont="1" applyBorder="1" applyAlignment="1">
      <alignment horizontal="right" vertical="center"/>
    </xf>
    <xf numFmtId="165" fontId="13" fillId="0" borderId="4" xfId="1" applyNumberFormat="1" applyFont="1" applyBorder="1" applyAlignment="1">
      <alignment horizontal="right" vertical="center"/>
    </xf>
    <xf numFmtId="0" fontId="0" fillId="0" borderId="4" xfId="0" applyBorder="1" applyAlignment="1">
      <alignment horizontal="center"/>
    </xf>
    <xf numFmtId="0" fontId="17" fillId="0" borderId="10" xfId="5" applyFont="1" applyBorder="1" applyAlignment="1">
      <alignment horizontal="center"/>
    </xf>
    <xf numFmtId="0" fontId="17" fillId="0" borderId="15" xfId="5" applyFont="1" applyBorder="1" applyAlignment="1">
      <alignment horizontal="center"/>
    </xf>
    <xf numFmtId="0" fontId="17" fillId="0" borderId="14" xfId="5" applyFont="1" applyBorder="1" applyAlignment="1">
      <alignment horizontal="center"/>
    </xf>
    <xf numFmtId="0" fontId="15" fillId="32" borderId="10" xfId="5" applyFont="1" applyFill="1" applyBorder="1" applyAlignment="1">
      <alignment horizontal="center"/>
    </xf>
    <xf numFmtId="0" fontId="15" fillId="32" borderId="14" xfId="5" applyFont="1" applyFill="1" applyBorder="1" applyAlignment="1">
      <alignment horizontal="center"/>
    </xf>
    <xf numFmtId="0" fontId="15" fillId="0" borderId="10" xfId="5" applyFont="1" applyBorder="1" applyAlignment="1">
      <alignment horizontal="left"/>
    </xf>
    <xf numFmtId="0" fontId="15" fillId="0" borderId="14" xfId="5" applyFont="1" applyBorder="1" applyAlignment="1">
      <alignment horizontal="left"/>
    </xf>
    <xf numFmtId="1" fontId="22" fillId="14" borderId="4" xfId="1" applyNumberFormat="1" applyFont="1" applyFill="1" applyBorder="1" applyAlignment="1">
      <alignment horizontal="right" vertical="center"/>
    </xf>
    <xf numFmtId="0" fontId="7" fillId="0" borderId="10" xfId="0" applyFont="1" applyBorder="1" applyAlignment="1">
      <alignment horizontal="left" vertical="center" wrapText="1"/>
    </xf>
    <xf numFmtId="0" fontId="7" fillId="0" borderId="15" xfId="0" applyFont="1" applyBorder="1" applyAlignment="1">
      <alignment horizontal="left" vertical="center" wrapText="1"/>
    </xf>
    <xf numFmtId="0" fontId="7" fillId="0" borderId="14"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168" fontId="10" fillId="14" borderId="4" xfId="0" applyNumberFormat="1" applyFont="1" applyFill="1" applyBorder="1" applyAlignment="1">
      <alignment horizontal="right" vertical="center"/>
    </xf>
    <xf numFmtId="0" fontId="0" fillId="6" borderId="4" xfId="0" applyFill="1" applyBorder="1" applyAlignment="1">
      <alignment horizontal="center" vertical="center"/>
    </xf>
    <xf numFmtId="0" fontId="13" fillId="0" borderId="9" xfId="0" applyFont="1" applyBorder="1" applyAlignment="1">
      <alignment horizontal="center" textRotation="255" wrapText="1"/>
    </xf>
    <xf numFmtId="3" fontId="10" fillId="8" borderId="4" xfId="0" applyNumberFormat="1" applyFont="1" applyFill="1" applyBorder="1" applyAlignment="1">
      <alignment horizontal="right" vertical="center"/>
    </xf>
    <xf numFmtId="0" fontId="10" fillId="8" borderId="4" xfId="0" applyFont="1" applyFill="1" applyBorder="1" applyAlignment="1">
      <alignment horizontal="right" vertical="center"/>
    </xf>
    <xf numFmtId="3" fontId="10" fillId="7" borderId="4" xfId="0" applyNumberFormat="1" applyFont="1" applyFill="1" applyBorder="1" applyAlignment="1">
      <alignment horizontal="right" vertical="center"/>
    </xf>
    <xf numFmtId="0" fontId="10" fillId="7" borderId="4" xfId="0" applyFont="1" applyFill="1" applyBorder="1" applyAlignment="1">
      <alignment horizontal="right" vertical="center"/>
    </xf>
    <xf numFmtId="164" fontId="10" fillId="7" borderId="4" xfId="0" applyNumberFormat="1" applyFont="1" applyFill="1" applyBorder="1" applyAlignment="1">
      <alignment horizontal="right" vertical="center"/>
    </xf>
    <xf numFmtId="10" fontId="13" fillId="0" borderId="14" xfId="0" applyNumberFormat="1" applyFont="1" applyBorder="1" applyAlignment="1">
      <alignment horizontal="right" vertical="center"/>
    </xf>
    <xf numFmtId="10" fontId="13" fillId="0" borderId="4" xfId="0" applyNumberFormat="1" applyFont="1" applyBorder="1" applyAlignment="1">
      <alignment horizontal="right" vertical="center"/>
    </xf>
    <xf numFmtId="0" fontId="0" fillId="0" borderId="4" xfId="0" applyBorder="1" applyAlignment="1">
      <alignment horizontal="center" vertical="center" wrapText="1"/>
    </xf>
    <xf numFmtId="0" fontId="19" fillId="0" borderId="4" xfId="0" applyFont="1" applyFill="1" applyBorder="1" applyAlignment="1">
      <alignment horizontal="left" vertical="center" wrapText="1"/>
    </xf>
    <xf numFmtId="166" fontId="3" fillId="0" borderId="4" xfId="2" applyNumberFormat="1" applyFont="1" applyBorder="1" applyAlignment="1">
      <alignment horizontal="right" vertical="center"/>
    </xf>
    <xf numFmtId="166" fontId="10" fillId="14" borderId="4" xfId="0" applyNumberFormat="1" applyFont="1" applyFill="1" applyBorder="1" applyAlignment="1">
      <alignment horizontal="right" vertical="center"/>
    </xf>
    <xf numFmtId="0" fontId="24" fillId="0" borderId="0" xfId="6" applyAlignment="1">
      <alignment horizontal="center" vertical="center"/>
    </xf>
    <xf numFmtId="0" fontId="24" fillId="0" borderId="7" xfId="6" applyBorder="1" applyAlignment="1">
      <alignment horizontal="center" vertical="center"/>
    </xf>
    <xf numFmtId="0" fontId="24" fillId="0" borderId="7" xfId="6" applyBorder="1" applyAlignment="1">
      <alignment horizontal="center"/>
    </xf>
    <xf numFmtId="0" fontId="19" fillId="0" borderId="10" xfId="0" applyFont="1" applyBorder="1" applyAlignment="1">
      <alignment horizontal="left" vertical="top" wrapText="1"/>
    </xf>
    <xf numFmtId="0" fontId="19" fillId="0" borderId="15" xfId="0" applyFont="1" applyBorder="1" applyAlignment="1">
      <alignment horizontal="left" vertical="top"/>
    </xf>
    <xf numFmtId="0" fontId="19" fillId="0" borderId="14" xfId="0" applyFont="1" applyBorder="1" applyAlignment="1">
      <alignment horizontal="left" vertical="top"/>
    </xf>
    <xf numFmtId="10" fontId="3" fillId="0" borderId="14" xfId="1" applyNumberFormat="1" applyFont="1" applyBorder="1" applyAlignment="1">
      <alignment horizontal="right" vertical="center"/>
    </xf>
    <xf numFmtId="10" fontId="3" fillId="0" borderId="4" xfId="1" applyNumberFormat="1" applyFont="1" applyBorder="1" applyAlignment="1">
      <alignment horizontal="right" vertical="center"/>
    </xf>
    <xf numFmtId="165" fontId="3" fillId="0" borderId="4" xfId="1" applyNumberFormat="1" applyFont="1" applyBorder="1" applyAlignment="1">
      <alignment horizontal="right" vertical="center"/>
    </xf>
    <xf numFmtId="0" fontId="19" fillId="0" borderId="10" xfId="0" applyFont="1" applyBorder="1" applyAlignment="1">
      <alignment horizontal="left" vertical="center" wrapText="1"/>
    </xf>
    <xf numFmtId="0" fontId="19" fillId="0" borderId="15" xfId="0" applyFont="1" applyBorder="1" applyAlignment="1">
      <alignment horizontal="left" vertical="center" wrapText="1"/>
    </xf>
    <xf numFmtId="0" fontId="19" fillId="0" borderId="14" xfId="0" applyFont="1" applyBorder="1" applyAlignment="1">
      <alignment horizontal="left" vertical="center" wrapText="1"/>
    </xf>
    <xf numFmtId="168" fontId="22" fillId="14" borderId="4" xfId="0" applyNumberFormat="1" applyFont="1" applyFill="1" applyBorder="1" applyAlignment="1">
      <alignment horizontal="right" vertical="center"/>
    </xf>
    <xf numFmtId="0" fontId="19" fillId="0" borderId="4" xfId="0" applyFont="1" applyBorder="1" applyAlignment="1">
      <alignment horizontal="left" vertical="top" wrapText="1"/>
    </xf>
    <xf numFmtId="0" fontId="47" fillId="29" borderId="4" xfId="0" applyFont="1" applyFill="1" applyBorder="1" applyAlignment="1">
      <alignment horizontal="left" vertical="center"/>
    </xf>
    <xf numFmtId="0" fontId="48" fillId="0" borderId="4" xfId="0" applyFont="1" applyBorder="1" applyAlignment="1">
      <alignment horizontal="left" vertical="center" wrapText="1"/>
    </xf>
    <xf numFmtId="0" fontId="48" fillId="0" borderId="4" xfId="0" applyFont="1" applyBorder="1" applyAlignment="1">
      <alignment horizontal="left" vertical="center"/>
    </xf>
    <xf numFmtId="0" fontId="24" fillId="0" borderId="4" xfId="6" applyBorder="1" applyAlignment="1">
      <alignment horizontal="right" vertical="center"/>
    </xf>
    <xf numFmtId="0" fontId="12" fillId="29" borderId="4" xfId="0" applyFont="1" applyFill="1" applyBorder="1" applyAlignment="1">
      <alignment horizontal="center" vertical="center"/>
    </xf>
    <xf numFmtId="2" fontId="3" fillId="0" borderId="4" xfId="0" applyNumberFormat="1" applyFont="1" applyBorder="1" applyAlignment="1">
      <alignment horizontal="right" vertical="center"/>
    </xf>
    <xf numFmtId="166" fontId="10" fillId="14" borderId="4" xfId="2" applyNumberFormat="1" applyFont="1" applyFill="1" applyBorder="1" applyAlignment="1">
      <alignment horizontal="right" vertical="center"/>
    </xf>
    <xf numFmtId="9" fontId="3" fillId="0" borderId="4" xfId="1" applyNumberFormat="1" applyFont="1" applyBorder="1" applyAlignment="1">
      <alignment horizontal="right" vertical="center"/>
    </xf>
    <xf numFmtId="3" fontId="10" fillId="7" borderId="10" xfId="0" applyNumberFormat="1" applyFont="1" applyFill="1" applyBorder="1" applyAlignment="1">
      <alignment horizontal="right" vertical="center"/>
    </xf>
    <xf numFmtId="3" fontId="10" fillId="7" borderId="15" xfId="0" applyNumberFormat="1" applyFont="1" applyFill="1" applyBorder="1" applyAlignment="1">
      <alignment horizontal="right" vertical="center"/>
    </xf>
    <xf numFmtId="3" fontId="10" fillId="7" borderId="14" xfId="0" applyNumberFormat="1" applyFont="1" applyFill="1" applyBorder="1" applyAlignment="1">
      <alignment horizontal="right"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6" borderId="4" xfId="0" applyFill="1" applyBorder="1" applyAlignment="1">
      <alignment horizontal="center" vertical="center" wrapText="1"/>
    </xf>
    <xf numFmtId="168" fontId="3" fillId="0" borderId="4" xfId="2" applyNumberFormat="1" applyFont="1" applyBorder="1" applyAlignment="1">
      <alignment horizontal="right" vertical="center"/>
    </xf>
    <xf numFmtId="172" fontId="10" fillId="14" borderId="4" xfId="2" applyNumberFormat="1" applyFont="1" applyFill="1" applyBorder="1" applyAlignment="1">
      <alignment horizontal="right" vertical="center"/>
    </xf>
    <xf numFmtId="3" fontId="25" fillId="2" borderId="4" xfId="0" applyNumberFormat="1" applyFont="1" applyFill="1" applyBorder="1" applyAlignment="1">
      <alignment horizontal="right" vertical="center"/>
    </xf>
    <xf numFmtId="0" fontId="25" fillId="2" borderId="4" xfId="0" applyFont="1" applyFill="1" applyBorder="1" applyAlignment="1">
      <alignment horizontal="right" vertical="center"/>
    </xf>
    <xf numFmtId="3" fontId="25" fillId="25" borderId="4" xfId="0" applyNumberFormat="1" applyFont="1" applyFill="1" applyBorder="1" applyAlignment="1">
      <alignment horizontal="right" vertical="center"/>
    </xf>
    <xf numFmtId="0" fontId="25" fillId="25" borderId="4" xfId="0" applyFont="1" applyFill="1" applyBorder="1" applyAlignment="1">
      <alignment horizontal="right" vertical="center"/>
    </xf>
    <xf numFmtId="165" fontId="11" fillId="0" borderId="4" xfId="1" applyNumberFormat="1" applyFont="1" applyBorder="1" applyAlignment="1">
      <alignment horizontal="right" vertical="center"/>
    </xf>
    <xf numFmtId="164" fontId="11" fillId="0" borderId="4" xfId="0" applyNumberFormat="1" applyFont="1" applyBorder="1" applyAlignment="1">
      <alignment horizontal="right" vertical="center"/>
    </xf>
    <xf numFmtId="164" fontId="12" fillId="0" borderId="4" xfId="0" applyNumberFormat="1" applyFont="1" applyBorder="1" applyAlignment="1">
      <alignment horizontal="right" vertical="center"/>
    </xf>
    <xf numFmtId="0" fontId="13" fillId="0" borderId="56" xfId="0" applyFont="1" applyBorder="1" applyAlignment="1">
      <alignment horizontal="center" vertical="center" textRotation="91"/>
    </xf>
    <xf numFmtId="0" fontId="13" fillId="0" borderId="0" xfId="0" applyFont="1" applyBorder="1" applyAlignment="1">
      <alignment horizontal="center" vertical="center" textRotation="91"/>
    </xf>
    <xf numFmtId="0" fontId="13" fillId="0" borderId="16" xfId="0" applyFont="1" applyBorder="1" applyAlignment="1">
      <alignment horizontal="center" vertical="center" textRotation="91"/>
    </xf>
    <xf numFmtId="0" fontId="13" fillId="0" borderId="60" xfId="0" applyFont="1" applyBorder="1" applyAlignment="1">
      <alignment horizontal="center" textRotation="255" wrapText="1"/>
    </xf>
    <xf numFmtId="0" fontId="13" fillId="0" borderId="31" xfId="0" applyFont="1" applyBorder="1" applyAlignment="1">
      <alignment horizontal="center" textRotation="255" wrapText="1"/>
    </xf>
    <xf numFmtId="0" fontId="13" fillId="0" borderId="61" xfId="0" applyFont="1" applyBorder="1" applyAlignment="1">
      <alignment horizontal="center" textRotation="255" wrapText="1"/>
    </xf>
    <xf numFmtId="0" fontId="13" fillId="0" borderId="56" xfId="0" applyFont="1" applyBorder="1" applyAlignment="1">
      <alignment horizontal="center" textRotation="255" wrapText="1"/>
    </xf>
    <xf numFmtId="0" fontId="13" fillId="0" borderId="0" xfId="0" applyFont="1" applyBorder="1" applyAlignment="1">
      <alignment horizontal="center" textRotation="255" wrapText="1"/>
    </xf>
    <xf numFmtId="0" fontId="13" fillId="0" borderId="16" xfId="0" applyFont="1" applyBorder="1" applyAlignment="1">
      <alignment horizontal="center" textRotation="255" wrapText="1"/>
    </xf>
    <xf numFmtId="0" fontId="13" fillId="0" borderId="59" xfId="0" applyFont="1" applyBorder="1" applyAlignment="1">
      <alignment horizontal="center" textRotation="255" wrapText="1"/>
    </xf>
    <xf numFmtId="0" fontId="13" fillId="0" borderId="7" xfId="0" applyFont="1" applyBorder="1" applyAlignment="1">
      <alignment horizontal="center" textRotation="255" wrapText="1"/>
    </xf>
    <xf numFmtId="0" fontId="49" fillId="0" borderId="4" xfId="0" applyFont="1" applyBorder="1" applyAlignment="1">
      <alignment horizontal="center" vertical="center" wrapText="1"/>
    </xf>
    <xf numFmtId="0" fontId="49" fillId="0" borderId="4" xfId="0" applyFont="1" applyBorder="1" applyAlignment="1">
      <alignment horizontal="left" vertical="center" wrapText="1"/>
    </xf>
    <xf numFmtId="0" fontId="49" fillId="0" borderId="4" xfId="0" applyFont="1" applyBorder="1" applyAlignment="1">
      <alignment horizontal="left" vertical="center"/>
    </xf>
    <xf numFmtId="0" fontId="7" fillId="0" borderId="10" xfId="0" applyFont="1" applyBorder="1" applyAlignment="1">
      <alignment horizontal="right" vertical="center" wrapText="1"/>
    </xf>
    <xf numFmtId="0" fontId="7" fillId="0" borderId="15" xfId="0" applyFont="1" applyBorder="1" applyAlignment="1">
      <alignment horizontal="right" vertical="center"/>
    </xf>
    <xf numFmtId="0" fontId="7" fillId="0" borderId="14" xfId="0" applyFont="1" applyBorder="1" applyAlignment="1">
      <alignment horizontal="right" vertical="center"/>
    </xf>
    <xf numFmtId="11" fontId="38" fillId="0" borderId="4" xfId="0" applyNumberFormat="1" applyFont="1" applyBorder="1" applyAlignment="1">
      <alignment horizontal="center" vertical="center"/>
    </xf>
    <xf numFmtId="1" fontId="0" fillId="6" borderId="4" xfId="0" applyNumberFormat="1" applyFill="1" applyBorder="1" applyAlignment="1">
      <alignment horizontal="center" vertical="center" wrapText="1"/>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11" borderId="4" xfId="0" applyFill="1" applyBorder="1" applyAlignment="1">
      <alignment horizontal="center" vertical="center"/>
    </xf>
    <xf numFmtId="0" fontId="0" fillId="0" borderId="0" xfId="0" applyAlignment="1">
      <alignment horizontal="center"/>
    </xf>
    <xf numFmtId="0" fontId="5" fillId="0" borderId="10"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172" fontId="10" fillId="5" borderId="4" xfId="2" applyNumberFormat="1" applyFont="1" applyFill="1" applyBorder="1" applyAlignment="1">
      <alignment horizontal="right" vertical="center"/>
    </xf>
    <xf numFmtId="3" fontId="25" fillId="30" borderId="4" xfId="0" applyNumberFormat="1" applyFont="1" applyFill="1" applyBorder="1" applyAlignment="1">
      <alignment horizontal="right" vertical="center"/>
    </xf>
    <xf numFmtId="0" fontId="25" fillId="30" borderId="4" xfId="0" applyFont="1" applyFill="1" applyBorder="1" applyAlignment="1">
      <alignment horizontal="right" vertical="center"/>
    </xf>
    <xf numFmtId="3" fontId="25" fillId="28" borderId="4" xfId="0" applyNumberFormat="1" applyFont="1" applyFill="1" applyBorder="1" applyAlignment="1">
      <alignment horizontal="right" vertical="center"/>
    </xf>
    <xf numFmtId="0" fontId="25" fillId="28" borderId="4" xfId="0" applyFont="1" applyFill="1" applyBorder="1" applyAlignment="1">
      <alignment horizontal="right" vertical="center"/>
    </xf>
    <xf numFmtId="168" fontId="10" fillId="5" borderId="4" xfId="2" applyNumberFormat="1" applyFont="1" applyFill="1" applyBorder="1" applyAlignment="1">
      <alignment horizontal="right" vertical="center"/>
    </xf>
    <xf numFmtId="164" fontId="3" fillId="0" borderId="10" xfId="0" applyNumberFormat="1" applyFont="1" applyBorder="1" applyAlignment="1">
      <alignment horizontal="right" vertical="center"/>
    </xf>
    <xf numFmtId="164" fontId="3" fillId="0" borderId="15" xfId="0" applyNumberFormat="1" applyFont="1" applyBorder="1" applyAlignment="1">
      <alignment horizontal="right" vertical="center"/>
    </xf>
    <xf numFmtId="164" fontId="3" fillId="0" borderId="14" xfId="0" applyNumberFormat="1" applyFont="1" applyBorder="1" applyAlignment="1">
      <alignment horizontal="right" vertical="center"/>
    </xf>
    <xf numFmtId="0" fontId="7" fillId="0" borderId="10" xfId="0" applyFont="1" applyBorder="1" applyAlignment="1">
      <alignment horizontal="left" vertical="top" wrapText="1"/>
    </xf>
    <xf numFmtId="0" fontId="7" fillId="0" borderId="15" xfId="0" applyFont="1" applyBorder="1" applyAlignment="1">
      <alignment horizontal="left" vertical="top" wrapText="1"/>
    </xf>
    <xf numFmtId="0" fontId="7" fillId="0" borderId="14" xfId="0" applyFont="1" applyBorder="1" applyAlignment="1">
      <alignment horizontal="left" vertical="top" wrapText="1"/>
    </xf>
    <xf numFmtId="167" fontId="10" fillId="7" borderId="4" xfId="2" applyNumberFormat="1" applyFont="1" applyFill="1" applyBorder="1" applyAlignment="1">
      <alignment horizontal="right" vertical="center"/>
    </xf>
    <xf numFmtId="0" fontId="0" fillId="0" borderId="4" xfId="0" applyFill="1" applyBorder="1" applyAlignment="1">
      <alignment horizontal="left" vertical="center"/>
    </xf>
    <xf numFmtId="0" fontId="0" fillId="0" borderId="10" xfId="0" applyFill="1" applyBorder="1" applyAlignment="1">
      <alignment horizontal="left" vertical="center"/>
    </xf>
    <xf numFmtId="0" fontId="0" fillId="0" borderId="14" xfId="0" applyFill="1" applyBorder="1" applyAlignment="1">
      <alignment horizontal="left" vertical="center"/>
    </xf>
    <xf numFmtId="167" fontId="10" fillId="8" borderId="4" xfId="2" applyNumberFormat="1" applyFont="1" applyFill="1" applyBorder="1" applyAlignment="1">
      <alignment horizontal="right" vertical="center"/>
    </xf>
    <xf numFmtId="164" fontId="3" fillId="0" borderId="4" xfId="2" applyNumberFormat="1" applyFont="1" applyBorder="1" applyAlignment="1">
      <alignment horizontal="right" vertical="center"/>
    </xf>
    <xf numFmtId="0" fontId="0" fillId="0" borderId="10" xfId="0" applyFill="1" applyBorder="1" applyAlignment="1">
      <alignment horizontal="left"/>
    </xf>
    <xf numFmtId="0" fontId="0" fillId="0" borderId="14" xfId="0" applyFill="1" applyBorder="1" applyAlignment="1">
      <alignment horizontal="left"/>
    </xf>
    <xf numFmtId="0" fontId="0" fillId="0" borderId="0" xfId="0" applyAlignment="1">
      <alignment horizontal="left" vertical="justify"/>
    </xf>
    <xf numFmtId="0" fontId="24" fillId="0" borderId="0" xfId="6" applyAlignment="1">
      <alignment horizontal="left"/>
    </xf>
    <xf numFmtId="165" fontId="3" fillId="0" borderId="10" xfId="1" applyNumberFormat="1" applyFont="1" applyBorder="1" applyAlignment="1">
      <alignment horizontal="right" vertical="center"/>
    </xf>
    <xf numFmtId="165" fontId="3" fillId="0" borderId="15" xfId="1" applyNumberFormat="1" applyFont="1" applyBorder="1" applyAlignment="1">
      <alignment horizontal="right" vertical="center"/>
    </xf>
    <xf numFmtId="165" fontId="3" fillId="0" borderId="14" xfId="1" applyNumberFormat="1" applyFont="1" applyBorder="1" applyAlignment="1">
      <alignment horizontal="right" vertical="center"/>
    </xf>
    <xf numFmtId="10" fontId="3" fillId="0" borderId="10" xfId="1" applyNumberFormat="1" applyFont="1" applyBorder="1" applyAlignment="1">
      <alignment horizontal="right" vertical="center"/>
    </xf>
    <xf numFmtId="10" fontId="3" fillId="0" borderId="15" xfId="1" applyNumberFormat="1" applyFont="1" applyBorder="1" applyAlignment="1">
      <alignment horizontal="right" vertical="center"/>
    </xf>
    <xf numFmtId="0" fontId="21" fillId="0" borderId="10" xfId="0" applyFont="1" applyBorder="1" applyAlignment="1">
      <alignment horizontal="center" vertical="center"/>
    </xf>
    <xf numFmtId="0" fontId="21" fillId="0" borderId="15" xfId="0" applyFont="1" applyBorder="1" applyAlignment="1">
      <alignment horizontal="center" vertical="center"/>
    </xf>
    <xf numFmtId="0" fontId="21" fillId="0" borderId="14" xfId="0" applyFont="1" applyBorder="1" applyAlignment="1">
      <alignment horizontal="center" vertical="center"/>
    </xf>
    <xf numFmtId="173" fontId="33" fillId="24" borderId="39" xfId="0" applyNumberFormat="1" applyFont="1" applyFill="1" applyBorder="1" applyAlignment="1">
      <alignment horizontal="right" vertical="center" wrapText="1" readingOrder="1"/>
    </xf>
    <xf numFmtId="173" fontId="33" fillId="24" borderId="40" xfId="0" applyNumberFormat="1" applyFont="1" applyFill="1" applyBorder="1" applyAlignment="1">
      <alignment horizontal="right" vertical="center" wrapText="1" readingOrder="1"/>
    </xf>
    <xf numFmtId="173" fontId="33" fillId="23" borderId="39" xfId="0" applyNumberFormat="1" applyFont="1" applyFill="1" applyBorder="1" applyAlignment="1">
      <alignment horizontal="right" vertical="center" wrapText="1" readingOrder="1"/>
    </xf>
    <xf numFmtId="173" fontId="33" fillId="23" borderId="40" xfId="0" applyNumberFormat="1" applyFont="1" applyFill="1" applyBorder="1" applyAlignment="1">
      <alignment horizontal="right" vertical="center" wrapText="1" readingOrder="1"/>
    </xf>
    <xf numFmtId="0" fontId="3" fillId="0" borderId="10" xfId="0" applyFont="1" applyBorder="1" applyAlignment="1">
      <alignment horizontal="right" vertical="center"/>
    </xf>
    <xf numFmtId="0" fontId="3" fillId="0" borderId="15" xfId="0" applyFont="1" applyBorder="1" applyAlignment="1">
      <alignment horizontal="right" vertical="center"/>
    </xf>
    <xf numFmtId="0" fontId="3" fillId="0" borderId="14" xfId="0" applyFont="1" applyBorder="1" applyAlignment="1">
      <alignment horizontal="right" vertical="center"/>
    </xf>
    <xf numFmtId="0" fontId="7" fillId="0" borderId="10" xfId="0" applyFont="1" applyBorder="1" applyAlignment="1">
      <alignment horizontal="left" vertical="center"/>
    </xf>
    <xf numFmtId="0" fontId="7" fillId="0" borderId="15" xfId="0" applyFont="1" applyBorder="1" applyAlignment="1">
      <alignment horizontal="left" vertical="center"/>
    </xf>
    <xf numFmtId="0" fontId="7" fillId="0" borderId="14" xfId="0" applyFont="1" applyBorder="1" applyAlignment="1">
      <alignment horizontal="left" vertical="center"/>
    </xf>
    <xf numFmtId="3" fontId="10" fillId="8" borderId="10" xfId="0" applyNumberFormat="1" applyFont="1" applyFill="1" applyBorder="1" applyAlignment="1">
      <alignment horizontal="right" vertical="center"/>
    </xf>
    <xf numFmtId="3" fontId="10" fillId="8" borderId="15" xfId="0" applyNumberFormat="1" applyFont="1" applyFill="1" applyBorder="1" applyAlignment="1">
      <alignment horizontal="right" vertical="center"/>
    </xf>
    <xf numFmtId="3" fontId="10" fillId="8" borderId="14" xfId="0" applyNumberFormat="1" applyFont="1" applyFill="1" applyBorder="1" applyAlignment="1">
      <alignment horizontal="right" vertical="center"/>
    </xf>
    <xf numFmtId="168" fontId="3" fillId="0" borderId="10" xfId="0" applyNumberFormat="1" applyFont="1" applyBorder="1" applyAlignment="1">
      <alignment horizontal="right" vertical="center"/>
    </xf>
    <xf numFmtId="168" fontId="3" fillId="0" borderId="15" xfId="0" applyNumberFormat="1" applyFont="1" applyBorder="1" applyAlignment="1">
      <alignment horizontal="right" vertical="center"/>
    </xf>
    <xf numFmtId="168" fontId="3" fillId="0" borderId="14" xfId="0" applyNumberFormat="1" applyFont="1" applyBorder="1" applyAlignment="1">
      <alignment horizontal="right" vertical="center"/>
    </xf>
    <xf numFmtId="173" fontId="31" fillId="22" borderId="33" xfId="0" applyNumberFormat="1" applyFont="1" applyFill="1" applyBorder="1" applyAlignment="1">
      <alignment horizontal="right" vertical="center" wrapText="1" readingOrder="1"/>
    </xf>
    <xf numFmtId="173" fontId="31" fillId="22" borderId="34" xfId="0" applyNumberFormat="1" applyFont="1" applyFill="1" applyBorder="1" applyAlignment="1">
      <alignment horizontal="right" vertical="center" wrapText="1" readingOrder="1"/>
    </xf>
    <xf numFmtId="173" fontId="33" fillId="23" borderId="36" xfId="0" applyNumberFormat="1" applyFont="1" applyFill="1" applyBorder="1" applyAlignment="1">
      <alignment horizontal="right" vertical="center" wrapText="1" readingOrder="1"/>
    </xf>
    <xf numFmtId="173" fontId="33" fillId="23" borderId="37" xfId="0" applyNumberFormat="1" applyFont="1" applyFill="1" applyBorder="1" applyAlignment="1">
      <alignment horizontal="right" vertical="center" wrapText="1" readingOrder="1"/>
    </xf>
    <xf numFmtId="164" fontId="13" fillId="0" borderId="10" xfId="0" applyNumberFormat="1" applyFont="1" applyFill="1" applyBorder="1" applyAlignment="1">
      <alignment horizontal="right" vertical="center"/>
    </xf>
    <xf numFmtId="164" fontId="13" fillId="0" borderId="15" xfId="0" applyNumberFormat="1" applyFont="1" applyFill="1" applyBorder="1" applyAlignment="1">
      <alignment horizontal="right" vertical="center"/>
    </xf>
    <xf numFmtId="164" fontId="13" fillId="0" borderId="14" xfId="0" applyNumberFormat="1" applyFont="1" applyFill="1" applyBorder="1" applyAlignment="1">
      <alignment horizontal="right" vertical="center"/>
    </xf>
    <xf numFmtId="43" fontId="3" fillId="0" borderId="10" xfId="2" applyNumberFormat="1" applyFont="1" applyBorder="1" applyAlignment="1">
      <alignment horizontal="right" vertical="center"/>
    </xf>
    <xf numFmtId="43" fontId="3" fillId="0" borderId="15" xfId="2" applyNumberFormat="1" applyFont="1" applyBorder="1" applyAlignment="1">
      <alignment horizontal="right" vertical="center"/>
    </xf>
    <xf numFmtId="43" fontId="3" fillId="0" borderId="14" xfId="2" applyNumberFormat="1" applyFont="1" applyBorder="1" applyAlignment="1">
      <alignment horizontal="right" vertical="center"/>
    </xf>
    <xf numFmtId="166" fontId="10" fillId="14" borderId="10" xfId="2" applyNumberFormat="1" applyFont="1" applyFill="1" applyBorder="1" applyAlignment="1">
      <alignment horizontal="right" vertical="center"/>
    </xf>
    <xf numFmtId="166" fontId="10" fillId="14" borderId="15" xfId="2" applyNumberFormat="1" applyFont="1" applyFill="1" applyBorder="1" applyAlignment="1">
      <alignment horizontal="right" vertical="center"/>
    </xf>
    <xf numFmtId="166" fontId="10" fillId="14" borderId="14" xfId="2" applyNumberFormat="1" applyFont="1" applyFill="1" applyBorder="1" applyAlignment="1">
      <alignment horizontal="right" vertical="center"/>
    </xf>
    <xf numFmtId="0" fontId="0" fillId="0" borderId="0" xfId="0" applyFill="1" applyBorder="1" applyAlignment="1">
      <alignment horizontal="center" vertical="center" wrapText="1"/>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3" fontId="25" fillId="18" borderId="4" xfId="0" applyNumberFormat="1" applyFont="1" applyFill="1" applyBorder="1" applyAlignment="1">
      <alignment horizontal="right" vertical="center"/>
    </xf>
    <xf numFmtId="0" fontId="25" fillId="18" borderId="4" xfId="0" applyFont="1" applyFill="1" applyBorder="1" applyAlignment="1">
      <alignment horizontal="right" vertical="center"/>
    </xf>
    <xf numFmtId="3" fontId="25" fillId="16" borderId="4" xfId="0" applyNumberFormat="1" applyFont="1" applyFill="1" applyBorder="1" applyAlignment="1">
      <alignment horizontal="right" vertical="center"/>
    </xf>
    <xf numFmtId="0" fontId="25" fillId="16" borderId="4" xfId="0" applyFont="1" applyFill="1" applyBorder="1" applyAlignment="1">
      <alignment horizontal="right" vertical="center"/>
    </xf>
    <xf numFmtId="166" fontId="10" fillId="5" borderId="4" xfId="2" applyNumberFormat="1" applyFont="1" applyFill="1" applyBorder="1" applyAlignment="1">
      <alignment horizontal="right" vertical="center"/>
    </xf>
    <xf numFmtId="0" fontId="12" fillId="19" borderId="4" xfId="0" applyFont="1" applyFill="1" applyBorder="1" applyAlignment="1">
      <alignment horizontal="center" vertical="center"/>
    </xf>
    <xf numFmtId="0" fontId="5" fillId="0" borderId="4" xfId="0" applyFont="1" applyBorder="1" applyAlignment="1">
      <alignment horizontal="left" vertical="center"/>
    </xf>
    <xf numFmtId="168" fontId="3" fillId="0" borderId="4" xfId="0" applyNumberFormat="1" applyFont="1" applyFill="1" applyBorder="1" applyAlignment="1">
      <alignment horizontal="right" vertical="center"/>
    </xf>
    <xf numFmtId="0" fontId="5" fillId="0" borderId="10" xfId="0" applyFont="1" applyBorder="1" applyAlignment="1">
      <alignment horizontal="left" vertical="center"/>
    </xf>
    <xf numFmtId="0" fontId="5" fillId="0" borderId="15" xfId="0" applyFont="1" applyBorder="1" applyAlignment="1">
      <alignment horizontal="left" vertical="center"/>
    </xf>
    <xf numFmtId="0" fontId="5" fillId="0" borderId="14" xfId="0" applyFont="1" applyBorder="1" applyAlignment="1">
      <alignment horizontal="left" vertical="center"/>
    </xf>
  </cellXfs>
  <cellStyles count="7">
    <cellStyle name="Euro" xfId="4"/>
    <cellStyle name="Lien hypertexte" xfId="6" builtinId="8"/>
    <cellStyle name="Milliers" xfId="2" builtinId="3"/>
    <cellStyle name="Normal" xfId="0" builtinId="0"/>
    <cellStyle name="Normal 2" xfId="3"/>
    <cellStyle name="Normal 2 2" xfId="5"/>
    <cellStyle name="Pourcentage" xfId="1" builtinId="5"/>
  </cellStyles>
  <dxfs count="417">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s>
  <tableStyles count="0" defaultTableStyle="TableStyleMedium2" defaultPivotStyle="PivotStyleLight16"/>
  <colors>
    <mruColors>
      <color rgb="FFB1FBFD"/>
      <color rgb="FFFFC5D1"/>
      <color rgb="FF09E70E"/>
      <color rgb="FFFF9966"/>
      <color rgb="FFFF2D2D"/>
      <color rgb="FFFFFF99"/>
      <color rgb="FFD1FFD1"/>
      <color rgb="FF008000"/>
      <color rgb="FFFFCF37"/>
      <color rgb="FF00374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4.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BE" sz="1400"/>
              <a:t>Réduction d'émissions CO2 - MESSANCY - Objectifs et Réalisations</a:t>
            </a:r>
          </a:p>
        </c:rich>
      </c:tx>
      <c:layout/>
      <c:overlay val="0"/>
    </c:title>
    <c:autoTitleDeleted val="0"/>
    <c:plotArea>
      <c:layout>
        <c:manualLayout>
          <c:layoutTarget val="inner"/>
          <c:xMode val="edge"/>
          <c:yMode val="edge"/>
          <c:x val="5.3592091793174403E-2"/>
          <c:y val="0.12523083052118489"/>
          <c:w val="0.91496439923556394"/>
          <c:h val="0.80021067679040125"/>
        </c:manualLayout>
      </c:layout>
      <c:barChart>
        <c:barDir val="col"/>
        <c:grouping val="clustered"/>
        <c:varyColors val="0"/>
        <c:ser>
          <c:idx val="0"/>
          <c:order val="0"/>
          <c:tx>
            <c:v>Objectif</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'Objectifs CO2'!$B$4:$B$11</c:f>
              <c:strCache>
                <c:ptCount val="8"/>
                <c:pt idx="0">
                  <c:v>Objectif</c:v>
                </c:pt>
                <c:pt idx="1">
                  <c:v>Territoire</c:v>
                </c:pt>
                <c:pt idx="2">
                  <c:v>Agriculture</c:v>
                </c:pt>
                <c:pt idx="3">
                  <c:v>Industrie</c:v>
                </c:pt>
                <c:pt idx="4">
                  <c:v>Logement</c:v>
                </c:pt>
                <c:pt idx="5">
                  <c:v>Tertiaire</c:v>
                </c:pt>
                <c:pt idx="6">
                  <c:v>Transport</c:v>
                </c:pt>
                <c:pt idx="7">
                  <c:v>Communal</c:v>
                </c:pt>
              </c:strCache>
            </c:strRef>
          </c:cat>
          <c:val>
            <c:numRef>
              <c:f>'Objectifs CO2'!$C$4:$C$11</c:f>
              <c:numCache>
                <c:formatCode>_ * #,##0_ ;_ * \-#,##0_ ;_ * "-"??_ ;_ @_ </c:formatCode>
                <c:ptCount val="8"/>
                <c:pt idx="0" formatCode="#,##0">
                  <c:v>21681.718487909384</c:v>
                </c:pt>
                <c:pt idx="1">
                  <c:v>1084.0859243954692</c:v>
                </c:pt>
                <c:pt idx="2">
                  <c:v>1084.0859243954692</c:v>
                </c:pt>
                <c:pt idx="3">
                  <c:v>1084.0859243954692</c:v>
                </c:pt>
                <c:pt idx="4">
                  <c:v>10840.859243954692</c:v>
                </c:pt>
                <c:pt idx="5">
                  <c:v>2168.1718487909384</c:v>
                </c:pt>
                <c:pt idx="6">
                  <c:v>3252.2577731864076</c:v>
                </c:pt>
                <c:pt idx="7">
                  <c:v>2168.1718487909384</c:v>
                </c:pt>
              </c:numCache>
            </c:numRef>
          </c:val>
        </c:ser>
        <c:ser>
          <c:idx val="1"/>
          <c:order val="1"/>
          <c:tx>
            <c:v>Réalisé</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'Objectifs CO2'!$B$4:$B$11</c:f>
              <c:strCache>
                <c:ptCount val="8"/>
                <c:pt idx="0">
                  <c:v>Objectif</c:v>
                </c:pt>
                <c:pt idx="1">
                  <c:v>Territoire</c:v>
                </c:pt>
                <c:pt idx="2">
                  <c:v>Agriculture</c:v>
                </c:pt>
                <c:pt idx="3">
                  <c:v>Industrie</c:v>
                </c:pt>
                <c:pt idx="4">
                  <c:v>Logement</c:v>
                </c:pt>
                <c:pt idx="5">
                  <c:v>Tertiaire</c:v>
                </c:pt>
                <c:pt idx="6">
                  <c:v>Transport</c:v>
                </c:pt>
                <c:pt idx="7">
                  <c:v>Communal</c:v>
                </c:pt>
              </c:strCache>
            </c:strRef>
          </c:cat>
          <c:val>
            <c:numRef>
              <c:f>'Objectifs CO2'!$E$4:$E$11</c:f>
              <c:numCache>
                <c:formatCode>0</c:formatCode>
                <c:ptCount val="8"/>
                <c:pt idx="0" formatCode="#,##0">
                  <c:v>21681.73176139831</c:v>
                </c:pt>
                <c:pt idx="1">
                  <c:v>519.60710559917231</c:v>
                </c:pt>
                <c:pt idx="2">
                  <c:v>0</c:v>
                </c:pt>
                <c:pt idx="3">
                  <c:v>3073.8093019976477</c:v>
                </c:pt>
                <c:pt idx="4">
                  <c:v>5299.5102580225721</c:v>
                </c:pt>
                <c:pt idx="5">
                  <c:v>1358.4517588636363</c:v>
                </c:pt>
                <c:pt idx="6">
                  <c:v>287.35028426817206</c:v>
                </c:pt>
                <c:pt idx="7">
                  <c:v>11143.003052647109</c:v>
                </c:pt>
              </c:numCache>
            </c:numRef>
          </c:val>
        </c:ser>
        <c:dLbls>
          <c:showLegendKey val="0"/>
          <c:showVal val="0"/>
          <c:showCatName val="0"/>
          <c:showSerName val="0"/>
          <c:showPercent val="0"/>
          <c:showBubbleSize val="0"/>
        </c:dLbls>
        <c:gapWidth val="150"/>
        <c:axId val="107283456"/>
        <c:axId val="112777408"/>
      </c:barChart>
      <c:catAx>
        <c:axId val="107283456"/>
        <c:scaling>
          <c:orientation val="minMax"/>
        </c:scaling>
        <c:delete val="0"/>
        <c:axPos val="b"/>
        <c:numFmt formatCode="General" sourceLinked="0"/>
        <c:majorTickMark val="none"/>
        <c:minorTickMark val="none"/>
        <c:tickLblPos val="nextTo"/>
        <c:crossAx val="112777408"/>
        <c:crosses val="autoZero"/>
        <c:auto val="1"/>
        <c:lblAlgn val="ctr"/>
        <c:lblOffset val="100"/>
        <c:noMultiLvlLbl val="0"/>
      </c:catAx>
      <c:valAx>
        <c:axId val="112777408"/>
        <c:scaling>
          <c:orientation val="minMax"/>
          <c:min val="0"/>
        </c:scaling>
        <c:delete val="0"/>
        <c:axPos val="l"/>
        <c:majorGridlines/>
        <c:numFmt formatCode="#,##0" sourceLinked="0"/>
        <c:majorTickMark val="none"/>
        <c:minorTickMark val="none"/>
        <c:tickLblPos val="nextTo"/>
        <c:crossAx val="107283456"/>
        <c:crosses val="autoZero"/>
        <c:crossBetween val="between"/>
      </c:valAx>
    </c:plotArea>
    <c:legend>
      <c:legendPos val="r"/>
      <c:layout>
        <c:manualLayout>
          <c:xMode val="edge"/>
          <c:yMode val="edge"/>
          <c:x val="0.86696596393192771"/>
          <c:y val="2.5013592050993648E-2"/>
          <c:w val="0.11966020376485198"/>
          <c:h val="0.10763638920134984"/>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Budget </a:t>
            </a:r>
            <a:r>
              <a:rPr lang="fr-BE" sz="1200" b="1" i="0" u="none" strike="noStrike" baseline="0">
                <a:effectLst/>
              </a:rPr>
              <a:t>2007-2030 </a:t>
            </a:r>
            <a:r>
              <a:rPr lang="fr-BE" sz="1200"/>
              <a:t>- secteur</a:t>
            </a:r>
          </a:p>
        </c:rich>
      </c:tx>
      <c:layout>
        <c:manualLayout>
          <c:xMode val="edge"/>
          <c:yMode val="edge"/>
          <c:x val="0.46788888888888891"/>
          <c:y val="0"/>
        </c:manualLayout>
      </c:layout>
      <c:overlay val="0"/>
    </c:title>
    <c:autoTitleDeleted val="0"/>
    <c:plotArea>
      <c:layout>
        <c:manualLayout>
          <c:layoutTarget val="inner"/>
          <c:xMode val="edge"/>
          <c:yMode val="edge"/>
          <c:x val="0.12373928258967629"/>
          <c:y val="0.19487131816856226"/>
          <c:w val="0.49141054243219595"/>
          <c:h val="0.80512868183143771"/>
        </c:manualLayout>
      </c:layout>
      <c:pieChart>
        <c:varyColors val="1"/>
        <c:ser>
          <c:idx val="0"/>
          <c:order val="0"/>
          <c:tx>
            <c:strRef>
              <c:f>'BUDGET ATTE'!$H$60</c:f>
              <c:strCache>
                <c:ptCount val="1"/>
                <c:pt idx="0">
                  <c:v>%</c:v>
                </c:pt>
              </c:strCache>
            </c:strRef>
          </c:tx>
          <c:dPt>
            <c:idx val="1"/>
            <c:bubble3D val="0"/>
            <c:spPr>
              <a:solidFill>
                <a:srgbClr val="0BE325"/>
              </a:solidFill>
            </c:spPr>
          </c:dPt>
          <c:dPt>
            <c:idx val="2"/>
            <c:bubble3D val="0"/>
            <c:spPr>
              <a:solidFill>
                <a:srgbClr val="00B0F0"/>
              </a:solidFill>
            </c:spPr>
          </c:dPt>
          <c:dPt>
            <c:idx val="3"/>
            <c:bubble3D val="0"/>
            <c:spPr>
              <a:solidFill>
                <a:srgbClr val="FF0000"/>
              </a:solidFill>
            </c:spPr>
          </c:dPt>
          <c:dPt>
            <c:idx val="4"/>
            <c:bubble3D val="0"/>
            <c:spPr>
              <a:solidFill>
                <a:srgbClr val="C00000"/>
              </a:solidFill>
            </c:spPr>
          </c:dPt>
          <c:dPt>
            <c:idx val="5"/>
            <c:bubble3D val="0"/>
            <c:spPr>
              <a:solidFill>
                <a:srgbClr val="FFC000"/>
              </a:solidFill>
            </c:spPr>
          </c:dPt>
          <c:dPt>
            <c:idx val="6"/>
            <c:bubble3D val="0"/>
            <c:spPr>
              <a:solidFill>
                <a:srgbClr val="0070C0"/>
              </a:solidFill>
            </c:spPr>
          </c:dPt>
          <c:dLbls>
            <c:dLbl>
              <c:idx val="0"/>
              <c:layout>
                <c:manualLayout>
                  <c:x val="6.2102799650043741E-2"/>
                  <c:y val="-5.3906386701662291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1"/>
              <c:layout>
                <c:manualLayout>
                  <c:x val="4.4146544181977256E-2"/>
                  <c:y val="4.3572470107903181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2"/>
              <c:layout>
                <c:manualLayout>
                  <c:x val="4.0239063867016624E-2"/>
                  <c:y val="-9.4674103237095356E-3"/>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3"/>
              <c:layout>
                <c:manualLayout>
                  <c:x val="-0.23471719160104987"/>
                  <c:y val="-2.9351851851851851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layout>
                <c:manualLayout>
                  <c:x val="0"/>
                  <c:y val="-0.40092264508603093"/>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5"/>
              <c:layout>
                <c:manualLayout>
                  <c:x val="-7.6934601924759427E-2"/>
                  <c:y val="1.0140347039953338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6"/>
              <c:layout>
                <c:manualLayout>
                  <c:x val="6.7483814523184596E-2"/>
                  <c:y val="-4.39297171186935E-2"/>
                </c:manualLayout>
              </c:layout>
              <c:showLegendKey val="1"/>
              <c:showVal val="1"/>
              <c:showCatName val="1"/>
              <c:showSerName val="0"/>
              <c:showPercent val="0"/>
              <c:showBubbleSize val="0"/>
              <c:separator> </c:separator>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ATTE'!$B$61:$B$67</c:f>
              <c:strCache>
                <c:ptCount val="7"/>
                <c:pt idx="0">
                  <c:v>Territorial</c:v>
                </c:pt>
                <c:pt idx="1">
                  <c:v>Agriculture</c:v>
                </c:pt>
                <c:pt idx="2">
                  <c:v>Industrie</c:v>
                </c:pt>
                <c:pt idx="3">
                  <c:v>Logement</c:v>
                </c:pt>
                <c:pt idx="4">
                  <c:v>Tertiaire</c:v>
                </c:pt>
                <c:pt idx="5">
                  <c:v>Transport</c:v>
                </c:pt>
                <c:pt idx="6">
                  <c:v>Communal</c:v>
                </c:pt>
              </c:strCache>
            </c:strRef>
          </c:cat>
          <c:val>
            <c:numRef>
              <c:f>'BUDGET ATTE'!$H$61:$H$67</c:f>
              <c:numCache>
                <c:formatCode>0.0%</c:formatCode>
                <c:ptCount val="7"/>
                <c:pt idx="0">
                  <c:v>7.0740322700233839E-3</c:v>
                </c:pt>
                <c:pt idx="1">
                  <c:v>3.4445707750862913E-3</c:v>
                </c:pt>
                <c:pt idx="2">
                  <c:v>8.9424198740476302E-2</c:v>
                </c:pt>
                <c:pt idx="3">
                  <c:v>0.33370056332646564</c:v>
                </c:pt>
                <c:pt idx="4">
                  <c:v>1.9848794306378762E-2</c:v>
                </c:pt>
                <c:pt idx="5">
                  <c:v>0.38823884982563595</c:v>
                </c:pt>
                <c:pt idx="6">
                  <c:v>0.15826899075593368</c:v>
                </c:pt>
              </c:numCache>
            </c:numRef>
          </c:val>
        </c:ser>
        <c:dLbls>
          <c:showLegendKey val="0"/>
          <c:showVal val="0"/>
          <c:showCatName val="0"/>
          <c:showSerName val="0"/>
          <c:showPercent val="0"/>
          <c:showBubbleSize val="0"/>
          <c:showLeaderLines val="1"/>
        </c:dLbls>
        <c:firstSliceAng val="8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 invest / porteur de projet - déjà réalisé</a:t>
            </a:r>
          </a:p>
        </c:rich>
      </c:tx>
      <c:overlay val="0"/>
    </c:title>
    <c:autoTitleDeleted val="0"/>
    <c:plotArea>
      <c:layout>
        <c:manualLayout>
          <c:layoutTarget val="inner"/>
          <c:xMode val="edge"/>
          <c:yMode val="edge"/>
          <c:x val="0.10094378827646544"/>
          <c:y val="0.19487131816856226"/>
          <c:w val="0.48494619422572177"/>
          <c:h val="0.80512868183143771"/>
        </c:manualLayout>
      </c:layout>
      <c:pieChart>
        <c:varyColors val="1"/>
        <c:ser>
          <c:idx val="0"/>
          <c:order val="0"/>
          <c:tx>
            <c:strRef>
              <c:f>'BUDGET ATTE'!$H$3</c:f>
              <c:strCache>
                <c:ptCount val="1"/>
                <c:pt idx="0">
                  <c:v>%</c:v>
                </c:pt>
              </c:strCache>
            </c:strRef>
          </c:tx>
          <c:dPt>
            <c:idx val="0"/>
            <c:bubble3D val="0"/>
            <c:spPr>
              <a:solidFill>
                <a:srgbClr val="0070C0"/>
              </a:solidFill>
            </c:spPr>
          </c:dPt>
          <c:dPt>
            <c:idx val="1"/>
            <c:bubble3D val="0"/>
            <c:spPr>
              <a:solidFill>
                <a:srgbClr val="99FF99"/>
              </a:solidFill>
            </c:spPr>
          </c:dPt>
          <c:dPt>
            <c:idx val="2"/>
            <c:bubble3D val="0"/>
            <c:spPr>
              <a:solidFill>
                <a:srgbClr val="FF0000"/>
              </a:solidFill>
            </c:spPr>
          </c:dPt>
          <c:dPt>
            <c:idx val="4"/>
            <c:bubble3D val="0"/>
            <c:spPr>
              <a:solidFill>
                <a:srgbClr val="FFFF00"/>
              </a:solidFill>
            </c:spPr>
          </c:dPt>
          <c:dPt>
            <c:idx val="5"/>
            <c:bubble3D val="0"/>
            <c:spPr>
              <a:solidFill>
                <a:srgbClr val="00B0F0"/>
              </a:solidFill>
            </c:spPr>
          </c:dPt>
          <c:dLbls>
            <c:dLbl>
              <c:idx val="0"/>
              <c:layout>
                <c:manualLayout>
                  <c:x val="-1.5315835520559828E-2"/>
                  <c:y val="2.7354913969087197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8.6605424321959772E-3"/>
                  <c:y val="-0.4496675415573053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ATTE'!$B$4:$B$9</c:f>
              <c:strCache>
                <c:ptCount val="6"/>
                <c:pt idx="0">
                  <c:v>AC MESSANCY</c:v>
                </c:pt>
                <c:pt idx="1">
                  <c:v>Agriculteurs</c:v>
                </c:pt>
                <c:pt idx="2">
                  <c:v>Citoyens</c:v>
                </c:pt>
                <c:pt idx="3">
                  <c:v>IDELUX</c:v>
                </c:pt>
                <c:pt idx="4">
                  <c:v>Industrie</c:v>
                </c:pt>
                <c:pt idx="5">
                  <c:v>Tertiaire</c:v>
                </c:pt>
              </c:strCache>
            </c:strRef>
          </c:cat>
          <c:val>
            <c:numRef>
              <c:f>'BUDGET ATTE'!$H$4:$H$9</c:f>
              <c:numCache>
                <c:formatCode>0.0%</c:formatCode>
                <c:ptCount val="6"/>
                <c:pt idx="0">
                  <c:v>0.36433265940482373</c:v>
                </c:pt>
                <c:pt idx="1">
                  <c:v>0</c:v>
                </c:pt>
                <c:pt idx="2">
                  <c:v>0.39393241322374395</c:v>
                </c:pt>
                <c:pt idx="3">
                  <c:v>0</c:v>
                </c:pt>
                <c:pt idx="4">
                  <c:v>0.19755175122818611</c:v>
                </c:pt>
                <c:pt idx="5">
                  <c:v>4.4183176143246329E-2</c:v>
                </c:pt>
              </c:numCache>
            </c:numRef>
          </c:val>
        </c:ser>
        <c:dLbls>
          <c:showLegendKey val="0"/>
          <c:showVal val="0"/>
          <c:showCatName val="0"/>
          <c:showSerName val="0"/>
          <c:showPercent val="0"/>
          <c:showBubbleSize val="0"/>
          <c:showLeaderLines val="1"/>
        </c:dLbls>
        <c:firstSliceAng val="72"/>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 invest / secteur - déjà réalisé</a:t>
            </a:r>
          </a:p>
        </c:rich>
      </c:tx>
      <c:overlay val="0"/>
    </c:title>
    <c:autoTitleDeleted val="0"/>
    <c:plotArea>
      <c:layout>
        <c:manualLayout>
          <c:layoutTarget val="inner"/>
          <c:xMode val="edge"/>
          <c:yMode val="edge"/>
          <c:x val="9.2601268591426075E-2"/>
          <c:y val="0.16246391076115485"/>
          <c:w val="0.50252165354330713"/>
          <c:h val="0.83753608923884515"/>
        </c:manualLayout>
      </c:layout>
      <c:pieChart>
        <c:varyColors val="1"/>
        <c:ser>
          <c:idx val="0"/>
          <c:order val="0"/>
          <c:tx>
            <c:strRef>
              <c:f>'BUDGET ATTE'!$H$14</c:f>
              <c:strCache>
                <c:ptCount val="1"/>
                <c:pt idx="0">
                  <c:v>%</c:v>
                </c:pt>
              </c:strCache>
            </c:strRef>
          </c:tx>
          <c:spPr>
            <a:solidFill>
              <a:srgbClr val="0070C0"/>
            </a:solidFill>
          </c:spPr>
          <c:dPt>
            <c:idx val="0"/>
            <c:bubble3D val="0"/>
            <c:spPr>
              <a:solidFill>
                <a:srgbClr val="7030A0"/>
              </a:solidFill>
            </c:spPr>
          </c:dPt>
          <c:dPt>
            <c:idx val="1"/>
            <c:bubble3D val="0"/>
          </c:dPt>
          <c:dPt>
            <c:idx val="2"/>
            <c:bubble3D val="0"/>
          </c:dPt>
          <c:dPt>
            <c:idx val="3"/>
            <c:bubble3D val="0"/>
            <c:spPr>
              <a:solidFill>
                <a:srgbClr val="FF0000"/>
              </a:solidFill>
            </c:spPr>
          </c:dPt>
          <c:dPt>
            <c:idx val="4"/>
            <c:bubble3D val="0"/>
          </c:dPt>
          <c:dPt>
            <c:idx val="5"/>
            <c:bubble3D val="0"/>
          </c:dPt>
          <c:dPt>
            <c:idx val="6"/>
            <c:bubble3D val="0"/>
          </c:dPt>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4.2160979877515293E-3"/>
                  <c:y val="-0.52127114319043455"/>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ATTE'!$B$15:$B$21</c:f>
              <c:strCache>
                <c:ptCount val="7"/>
                <c:pt idx="0">
                  <c:v>Territorial</c:v>
                </c:pt>
                <c:pt idx="1">
                  <c:v>Agriculture</c:v>
                </c:pt>
                <c:pt idx="2">
                  <c:v>Industrie</c:v>
                </c:pt>
                <c:pt idx="3">
                  <c:v>Logement</c:v>
                </c:pt>
                <c:pt idx="4">
                  <c:v>Tertiaire</c:v>
                </c:pt>
                <c:pt idx="5">
                  <c:v>Transport</c:v>
                </c:pt>
                <c:pt idx="6">
                  <c:v>Communal</c:v>
                </c:pt>
              </c:strCache>
            </c:strRef>
          </c:cat>
          <c:val>
            <c:numRef>
              <c:f>'BUDGET ATTE'!$H$15:$H$21</c:f>
              <c:numCache>
                <c:formatCode>0.0%</c:formatCode>
                <c:ptCount val="7"/>
                <c:pt idx="0">
                  <c:v>1.1846767192459941E-2</c:v>
                </c:pt>
                <c:pt idx="1">
                  <c:v>0</c:v>
                </c:pt>
                <c:pt idx="2">
                  <c:v>0.19755175122818608</c:v>
                </c:pt>
                <c:pt idx="3">
                  <c:v>0.36417083821568985</c:v>
                </c:pt>
                <c:pt idx="4">
                  <c:v>4.4183176143246322E-2</c:v>
                </c:pt>
                <c:pt idx="5">
                  <c:v>2.9761575008054042E-2</c:v>
                </c:pt>
                <c:pt idx="6">
                  <c:v>0.35248589221236371</c:v>
                </c:pt>
              </c:numCache>
            </c:numRef>
          </c:val>
        </c:ser>
        <c:dLbls>
          <c:showLegendKey val="0"/>
          <c:showVal val="0"/>
          <c:showCatName val="0"/>
          <c:showSerName val="0"/>
          <c:showPercent val="0"/>
          <c:showBubbleSize val="0"/>
          <c:showLeaderLines val="1"/>
        </c:dLbls>
        <c:firstSliceAng val="73"/>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Budget 2016-2020 - porteur de projet</a:t>
            </a:r>
          </a:p>
        </c:rich>
      </c:tx>
      <c:layout>
        <c:manualLayout>
          <c:xMode val="edge"/>
          <c:yMode val="edge"/>
          <c:x val="0.40355555555555556"/>
          <c:y val="1.8518518518518517E-2"/>
        </c:manualLayout>
      </c:layout>
      <c:overlay val="0"/>
    </c:title>
    <c:autoTitleDeleted val="0"/>
    <c:plotArea>
      <c:layout>
        <c:manualLayout>
          <c:layoutTarget val="inner"/>
          <c:xMode val="edge"/>
          <c:yMode val="edge"/>
          <c:x val="0.11003324584426945"/>
          <c:y val="0.19095764071157773"/>
          <c:w val="0.48542541557305335"/>
          <c:h val="0.80904235928842227"/>
        </c:manualLayout>
      </c:layout>
      <c:pieChart>
        <c:varyColors val="1"/>
        <c:ser>
          <c:idx val="0"/>
          <c:order val="0"/>
          <c:tx>
            <c:strRef>
              <c:f>'BUDGET ATTE'!$H$26</c:f>
              <c:strCache>
                <c:ptCount val="1"/>
                <c:pt idx="0">
                  <c:v>%</c:v>
                </c:pt>
              </c:strCache>
            </c:strRef>
          </c:tx>
          <c:dPt>
            <c:idx val="0"/>
            <c:bubble3D val="0"/>
            <c:spPr>
              <a:solidFill>
                <a:srgbClr val="0070C0"/>
              </a:solidFill>
            </c:spPr>
          </c:dPt>
          <c:dPt>
            <c:idx val="1"/>
            <c:bubble3D val="0"/>
            <c:spPr>
              <a:solidFill>
                <a:srgbClr val="0BE325"/>
              </a:solidFill>
            </c:spPr>
          </c:dPt>
          <c:dPt>
            <c:idx val="2"/>
            <c:bubble3D val="0"/>
            <c:spPr>
              <a:solidFill>
                <a:srgbClr val="FF0000"/>
              </a:solidFill>
            </c:spPr>
          </c:dPt>
          <c:dPt>
            <c:idx val="4"/>
            <c:bubble3D val="0"/>
            <c:spPr>
              <a:solidFill>
                <a:srgbClr val="00B0F0"/>
              </a:solidFill>
            </c:spPr>
          </c:dPt>
          <c:dPt>
            <c:idx val="5"/>
            <c:bubble3D val="0"/>
            <c:spPr>
              <a:solidFill>
                <a:srgbClr val="C00000"/>
              </a:solidFill>
            </c:spPr>
          </c:dPt>
          <c:dLbls>
            <c:dLbl>
              <c:idx val="2"/>
              <c:layout>
                <c:manualLayout>
                  <c:x val="0"/>
                  <c:y val="0.2331186205890930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15:layout/>
              </c:ext>
            </c:extLst>
          </c:dLbls>
          <c:cat>
            <c:strRef>
              <c:f>'BUDGET ATTE'!$B$27:$B$32</c:f>
              <c:strCache>
                <c:ptCount val="6"/>
                <c:pt idx="0">
                  <c:v>AC MESSANCY</c:v>
                </c:pt>
                <c:pt idx="1">
                  <c:v>Agriculteurs</c:v>
                </c:pt>
                <c:pt idx="2">
                  <c:v>Citoyens</c:v>
                </c:pt>
                <c:pt idx="3">
                  <c:v>IDELUX</c:v>
                </c:pt>
                <c:pt idx="4">
                  <c:v>Industrie</c:v>
                </c:pt>
                <c:pt idx="5">
                  <c:v>Tertiaire</c:v>
                </c:pt>
              </c:strCache>
            </c:strRef>
          </c:cat>
          <c:val>
            <c:numRef>
              <c:f>'BUDGET ATTE'!$H$27:$H$32</c:f>
              <c:numCache>
                <c:formatCode>0%</c:formatCode>
                <c:ptCount val="6"/>
                <c:pt idx="0">
                  <c:v>2.7118985591728824E-2</c:v>
                </c:pt>
                <c:pt idx="1">
                  <c:v>4.3691588294196265E-3</c:v>
                </c:pt>
                <c:pt idx="2">
                  <c:v>0.95132366163041293</c:v>
                </c:pt>
                <c:pt idx="3">
                  <c:v>5.5157705191602015E-3</c:v>
                </c:pt>
                <c:pt idx="4">
                  <c:v>1.0045388127319034E-2</c:v>
                </c:pt>
                <c:pt idx="5">
                  <c:v>1.6270353019594292E-3</c:v>
                </c:pt>
              </c:numCache>
            </c:numRef>
          </c:val>
        </c:ser>
        <c:dLbls>
          <c:showLegendKey val="0"/>
          <c:showVal val="0"/>
          <c:showCatName val="0"/>
          <c:showSerName val="0"/>
          <c:showPercent val="0"/>
          <c:showBubbleSize val="0"/>
          <c:showLeaderLines val="1"/>
        </c:dLbls>
        <c:firstSliceAng val="85"/>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Budget 2016-2020 - secteur</a:t>
            </a:r>
          </a:p>
        </c:rich>
      </c:tx>
      <c:overlay val="0"/>
    </c:title>
    <c:autoTitleDeleted val="0"/>
    <c:plotArea>
      <c:layout>
        <c:manualLayout>
          <c:layoutTarget val="inner"/>
          <c:xMode val="edge"/>
          <c:yMode val="edge"/>
          <c:x val="8.5115485564304469E-2"/>
          <c:y val="0.17706875182268886"/>
          <c:w val="0.49375874890638671"/>
          <c:h val="0.82293124817731111"/>
        </c:manualLayout>
      </c:layout>
      <c:pieChart>
        <c:varyColors val="1"/>
        <c:ser>
          <c:idx val="0"/>
          <c:order val="0"/>
          <c:tx>
            <c:strRef>
              <c:f>'BUDGET ATTE'!$H$37</c:f>
              <c:strCache>
                <c:ptCount val="1"/>
                <c:pt idx="0">
                  <c:v>%</c:v>
                </c:pt>
              </c:strCache>
            </c:strRef>
          </c:tx>
          <c:dPt>
            <c:idx val="0"/>
            <c:bubble3D val="0"/>
            <c:spPr>
              <a:solidFill>
                <a:srgbClr val="7030A0"/>
              </a:solidFill>
            </c:spPr>
          </c:dPt>
          <c:dPt>
            <c:idx val="1"/>
            <c:bubble3D val="0"/>
            <c:spPr>
              <a:solidFill>
                <a:srgbClr val="0BE325"/>
              </a:solidFill>
            </c:spPr>
          </c:dPt>
          <c:dPt>
            <c:idx val="2"/>
            <c:bubble3D val="0"/>
            <c:spPr>
              <a:solidFill>
                <a:srgbClr val="00B0F0"/>
              </a:solidFill>
            </c:spPr>
          </c:dPt>
          <c:dPt>
            <c:idx val="3"/>
            <c:bubble3D val="0"/>
            <c:spPr>
              <a:solidFill>
                <a:srgbClr val="FF0000"/>
              </a:solidFill>
            </c:spPr>
          </c:dPt>
          <c:dPt>
            <c:idx val="4"/>
            <c:bubble3D val="0"/>
            <c:spPr>
              <a:solidFill>
                <a:srgbClr val="C00000"/>
              </a:solidFill>
            </c:spPr>
          </c:dPt>
          <c:dPt>
            <c:idx val="5"/>
            <c:bubble3D val="0"/>
            <c:spPr>
              <a:solidFill>
                <a:srgbClr val="FFC000"/>
              </a:solidFill>
            </c:spPr>
          </c:dPt>
          <c:dPt>
            <c:idx val="6"/>
            <c:bubble3D val="0"/>
            <c:spPr>
              <a:solidFill>
                <a:srgbClr val="0070C0"/>
              </a:solidFill>
            </c:spPr>
          </c:dPt>
          <c:dLbls>
            <c:dLbl>
              <c:idx val="1"/>
              <c:layout>
                <c:manualLayout>
                  <c:x val="0.14044728783902014"/>
                  <c:y val="-6.0281690140845071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4.763320209973753E-2"/>
                  <c:y val="-9.6007541310857269E-3"/>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3.8590988626421699E-2"/>
                  <c:y val="3.3683782484935865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7.5678040244969374E-5"/>
                  <c:y val="-4.4793168459576357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0.14508519247594051"/>
                  <c:y val="0.13555062659421097"/>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1.7756233595800523E-2"/>
                  <c:y val="-0.13336845218291377"/>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txPr>
              <a:bodyPr rot="0" anchor="t" anchorCtr="1"/>
              <a:lstStyle/>
              <a:p>
                <a:pPr>
                  <a:defRPr/>
                </a:pPr>
                <a:endParaRPr lang="fr-FR"/>
              </a:p>
            </c:txPr>
            <c:dLblPos val="bestFit"/>
            <c:showLegendKey val="1"/>
            <c:showVal val="1"/>
            <c:showCatName val="1"/>
            <c:showSerName val="0"/>
            <c:showPercent val="0"/>
            <c:showBubbleSize val="0"/>
            <c:separator> </c:separator>
            <c:showLeaderLines val="1"/>
            <c:extLst>
              <c:ext xmlns:c15="http://schemas.microsoft.com/office/drawing/2012/chart" uri="{CE6537A1-D6FC-4f65-9D91-7224C49458BB}">
                <c15:layout/>
              </c:ext>
            </c:extLst>
          </c:dLbls>
          <c:cat>
            <c:strRef>
              <c:f>'BUDGET ATTE'!$B$38:$B$44</c:f>
              <c:strCache>
                <c:ptCount val="7"/>
                <c:pt idx="0">
                  <c:v>Territorial</c:v>
                </c:pt>
                <c:pt idx="1">
                  <c:v>Agriculture</c:v>
                </c:pt>
                <c:pt idx="2">
                  <c:v>Industrie</c:v>
                </c:pt>
                <c:pt idx="3">
                  <c:v>Logement</c:v>
                </c:pt>
                <c:pt idx="4">
                  <c:v>Tertiaire</c:v>
                </c:pt>
                <c:pt idx="5">
                  <c:v>Transport</c:v>
                </c:pt>
                <c:pt idx="6">
                  <c:v>Communal</c:v>
                </c:pt>
              </c:strCache>
            </c:strRef>
          </c:cat>
          <c:val>
            <c:numRef>
              <c:f>'BUDGET ATTE'!$H$38:$H$44</c:f>
              <c:numCache>
                <c:formatCode>0.0%</c:formatCode>
                <c:ptCount val="7"/>
                <c:pt idx="0">
                  <c:v>3.5001742558101148E-3</c:v>
                </c:pt>
                <c:pt idx="1">
                  <c:v>6.0238899851676872E-3</c:v>
                </c:pt>
                <c:pt idx="2">
                  <c:v>8.4575147960456436E-3</c:v>
                </c:pt>
                <c:pt idx="3">
                  <c:v>0.31088420375949816</c:v>
                </c:pt>
                <c:pt idx="4">
                  <c:v>1.6270353019594292E-3</c:v>
                </c:pt>
                <c:pt idx="5">
                  <c:v>0.6566691947621407</c:v>
                </c:pt>
                <c:pt idx="6">
                  <c:v>1.2837987139378311E-2</c:v>
                </c:pt>
              </c:numCache>
            </c:numRef>
          </c:val>
        </c:ser>
        <c:dLbls>
          <c:showLegendKey val="0"/>
          <c:showVal val="0"/>
          <c:showCatName val="0"/>
          <c:showSerName val="0"/>
          <c:showPercent val="0"/>
          <c:showBubbleSize val="0"/>
          <c:showLeaderLines val="1"/>
        </c:dLbls>
        <c:firstSliceAng val="13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Budget</a:t>
            </a:r>
            <a:r>
              <a:rPr lang="fr-BE" sz="1200" baseline="0"/>
              <a:t> total - </a:t>
            </a:r>
            <a:r>
              <a:rPr lang="fr-BE" sz="1200"/>
              <a:t> porteur de projet</a:t>
            </a:r>
          </a:p>
        </c:rich>
      </c:tx>
      <c:layout>
        <c:manualLayout>
          <c:xMode val="edge"/>
          <c:yMode val="edge"/>
          <c:x val="0.45659711286089238"/>
          <c:y val="1.3888888888888888E-2"/>
        </c:manualLayout>
      </c:layout>
      <c:overlay val="0"/>
    </c:title>
    <c:autoTitleDeleted val="0"/>
    <c:plotArea>
      <c:layout>
        <c:manualLayout>
          <c:layoutTarget val="inner"/>
          <c:xMode val="edge"/>
          <c:yMode val="edge"/>
          <c:x val="0.10372156605424321"/>
          <c:y val="0.13468613298337709"/>
          <c:w val="0.51827952755905526"/>
          <c:h val="0.8637992125984254"/>
        </c:manualLayout>
      </c:layout>
      <c:pieChart>
        <c:varyColors val="1"/>
        <c:ser>
          <c:idx val="0"/>
          <c:order val="0"/>
          <c:tx>
            <c:strRef>
              <c:f>'BUDGET ATTE'!$H$49</c:f>
              <c:strCache>
                <c:ptCount val="1"/>
                <c:pt idx="0">
                  <c:v>%</c:v>
                </c:pt>
              </c:strCache>
            </c:strRef>
          </c:tx>
          <c:dPt>
            <c:idx val="0"/>
            <c:bubble3D val="0"/>
            <c:spPr>
              <a:solidFill>
                <a:srgbClr val="0070C0"/>
              </a:solidFill>
            </c:spPr>
          </c:dPt>
          <c:dPt>
            <c:idx val="1"/>
            <c:bubble3D val="0"/>
            <c:spPr>
              <a:solidFill>
                <a:srgbClr val="0BE325"/>
              </a:solidFill>
            </c:spPr>
          </c:dPt>
          <c:dPt>
            <c:idx val="2"/>
            <c:bubble3D val="0"/>
            <c:spPr>
              <a:solidFill>
                <a:srgbClr val="FF0000"/>
              </a:solidFill>
            </c:spPr>
          </c:dPt>
          <c:dPt>
            <c:idx val="4"/>
            <c:bubble3D val="0"/>
            <c:spPr>
              <a:solidFill>
                <a:srgbClr val="00B0F0"/>
              </a:solidFill>
            </c:spPr>
          </c:dPt>
          <c:dPt>
            <c:idx val="5"/>
            <c:bubble3D val="0"/>
            <c:spPr>
              <a:solidFill>
                <a:srgbClr val="C00000"/>
              </a:solidFill>
            </c:spPr>
          </c:dPt>
          <c:dLbls>
            <c:dLbl>
              <c:idx val="0"/>
              <c:layout>
                <c:manualLayout>
                  <c:x val="4.4124234470691262E-2"/>
                  <c:y val="3.6919291338582676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4.234405074365704E-2"/>
                  <c:y val="0.12037000583260435"/>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0"/>
                  <c:y val="-0.38663021289005539"/>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1.9828958880139982E-2"/>
                  <c:y val="-0.19791010498687664"/>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3.4648512685914262E-2"/>
                  <c:y val="-0.12841061533974915"/>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3.6307524059492564E-2"/>
                  <c:y val="-3.2392825896762907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ATTE'!$B$50:$B$55</c:f>
              <c:strCache>
                <c:ptCount val="6"/>
                <c:pt idx="0">
                  <c:v>AC MESSANCY</c:v>
                </c:pt>
                <c:pt idx="1">
                  <c:v>Agriculteurs</c:v>
                </c:pt>
                <c:pt idx="2">
                  <c:v>Citoyens</c:v>
                </c:pt>
                <c:pt idx="3">
                  <c:v>IDELUX</c:v>
                </c:pt>
                <c:pt idx="4">
                  <c:v>Industrie</c:v>
                </c:pt>
                <c:pt idx="5">
                  <c:v>Tertiaire</c:v>
                </c:pt>
              </c:strCache>
            </c:strRef>
          </c:cat>
          <c:val>
            <c:numRef>
              <c:f>'BUDGET ATTE'!$H$50:$H$55</c:f>
              <c:numCache>
                <c:formatCode>0.0%</c:formatCode>
                <c:ptCount val="6"/>
                <c:pt idx="0">
                  <c:v>0.17150769602798444</c:v>
                </c:pt>
                <c:pt idx="1">
                  <c:v>2.4983651515193021E-3</c:v>
                </c:pt>
                <c:pt idx="2">
                  <c:v>0.71265895193509599</c:v>
                </c:pt>
                <c:pt idx="3">
                  <c:v>3.154018745223296E-3</c:v>
                </c:pt>
                <c:pt idx="4">
                  <c:v>9.0332173833798143E-2</c:v>
                </c:pt>
                <c:pt idx="5">
                  <c:v>1.9848794306378759E-2</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Budget total - secteur</a:t>
            </a:r>
          </a:p>
        </c:rich>
      </c:tx>
      <c:layout>
        <c:manualLayout>
          <c:xMode val="edge"/>
          <c:yMode val="edge"/>
          <c:x val="0.57344444444444442"/>
          <c:y val="1.8518518518518517E-2"/>
        </c:manualLayout>
      </c:layout>
      <c:overlay val="0"/>
    </c:title>
    <c:autoTitleDeleted val="0"/>
    <c:plotArea>
      <c:layout>
        <c:manualLayout>
          <c:layoutTarget val="inner"/>
          <c:xMode val="edge"/>
          <c:yMode val="edge"/>
          <c:x val="0.12373928258967629"/>
          <c:y val="0.19487131816856226"/>
          <c:w val="0.49141054243219595"/>
          <c:h val="0.80512868183143771"/>
        </c:manualLayout>
      </c:layout>
      <c:pieChart>
        <c:varyColors val="1"/>
        <c:ser>
          <c:idx val="0"/>
          <c:order val="0"/>
          <c:tx>
            <c:strRef>
              <c:f>'BUDGET ATTE'!$H$60</c:f>
              <c:strCache>
                <c:ptCount val="1"/>
                <c:pt idx="0">
                  <c:v>%</c:v>
                </c:pt>
              </c:strCache>
            </c:strRef>
          </c:tx>
          <c:dPt>
            <c:idx val="1"/>
            <c:bubble3D val="0"/>
            <c:spPr>
              <a:solidFill>
                <a:srgbClr val="0BE325"/>
              </a:solidFill>
            </c:spPr>
          </c:dPt>
          <c:dPt>
            <c:idx val="2"/>
            <c:bubble3D val="0"/>
            <c:spPr>
              <a:solidFill>
                <a:srgbClr val="00B0F0"/>
              </a:solidFill>
            </c:spPr>
          </c:dPt>
          <c:dPt>
            <c:idx val="3"/>
            <c:bubble3D val="0"/>
            <c:spPr>
              <a:solidFill>
                <a:srgbClr val="FF0000"/>
              </a:solidFill>
            </c:spPr>
          </c:dPt>
          <c:dPt>
            <c:idx val="4"/>
            <c:bubble3D val="0"/>
            <c:spPr>
              <a:solidFill>
                <a:srgbClr val="C00000"/>
              </a:solidFill>
            </c:spPr>
          </c:dPt>
          <c:dPt>
            <c:idx val="5"/>
            <c:bubble3D val="0"/>
            <c:spPr>
              <a:solidFill>
                <a:srgbClr val="FFC000"/>
              </a:solidFill>
            </c:spPr>
          </c:dPt>
          <c:dPt>
            <c:idx val="6"/>
            <c:bubble3D val="0"/>
            <c:spPr>
              <a:solidFill>
                <a:srgbClr val="0070C0"/>
              </a:solidFill>
            </c:spPr>
          </c:dPt>
          <c:dLbls>
            <c:dLbl>
              <c:idx val="0"/>
              <c:layout>
                <c:manualLayout>
                  <c:x val="0.10376946631671041"/>
                  <c:y val="-0.10946194225721793"/>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0.14970209973753282"/>
                  <c:y val="-5.8279381743948672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4.0239063867016624E-2"/>
                  <c:y val="-9.4674103237095356E-3"/>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0"/>
                  <c:y val="-0.40435185185185185"/>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4.7727909011373582E-2"/>
                  <c:y val="-2.7744969378827645E-3"/>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3.695428696412948E-2"/>
                  <c:y val="1.0140347039953338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6.7483814523184596E-2"/>
                  <c:y val="-4.39297171186935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ATTE'!$B$61:$B$67</c:f>
              <c:strCache>
                <c:ptCount val="7"/>
                <c:pt idx="0">
                  <c:v>Territorial</c:v>
                </c:pt>
                <c:pt idx="1">
                  <c:v>Agriculture</c:v>
                </c:pt>
                <c:pt idx="2">
                  <c:v>Industrie</c:v>
                </c:pt>
                <c:pt idx="3">
                  <c:v>Logement</c:v>
                </c:pt>
                <c:pt idx="4">
                  <c:v>Tertiaire</c:v>
                </c:pt>
                <c:pt idx="5">
                  <c:v>Transport</c:v>
                </c:pt>
                <c:pt idx="6">
                  <c:v>Communal</c:v>
                </c:pt>
              </c:strCache>
            </c:strRef>
          </c:cat>
          <c:val>
            <c:numRef>
              <c:f>'BUDGET ATTE'!$H$61:$H$67</c:f>
              <c:numCache>
                <c:formatCode>0.0%</c:formatCode>
                <c:ptCount val="7"/>
                <c:pt idx="0">
                  <c:v>7.0740322700233839E-3</c:v>
                </c:pt>
                <c:pt idx="1">
                  <c:v>3.4445707750862913E-3</c:v>
                </c:pt>
                <c:pt idx="2">
                  <c:v>8.9424198740476302E-2</c:v>
                </c:pt>
                <c:pt idx="3">
                  <c:v>0.33370056332646564</c:v>
                </c:pt>
                <c:pt idx="4">
                  <c:v>1.9848794306378762E-2</c:v>
                </c:pt>
                <c:pt idx="5">
                  <c:v>0.38823884982563595</c:v>
                </c:pt>
                <c:pt idx="6">
                  <c:v>0.15826899075593368</c:v>
                </c:pt>
              </c:numCache>
            </c:numRef>
          </c:val>
        </c:ser>
        <c:dLbls>
          <c:showLegendKey val="0"/>
          <c:showVal val="0"/>
          <c:showCatName val="0"/>
          <c:showSerName val="0"/>
          <c:showPercent val="0"/>
          <c:showBubbleSize val="0"/>
          <c:showLeaderLines val="1"/>
        </c:dLbls>
        <c:firstSliceAng val="12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2007 - 2018 Répartition des contributions par secteur</a:t>
            </a:r>
          </a:p>
        </c:rich>
      </c:tx>
      <c:overlay val="0"/>
    </c:title>
    <c:autoTitleDeleted val="0"/>
    <c:plotArea>
      <c:layout>
        <c:manualLayout>
          <c:layoutTarget val="inner"/>
          <c:xMode val="edge"/>
          <c:yMode val="edge"/>
          <c:x val="0.18843307086614169"/>
          <c:y val="0.16051764362787985"/>
          <c:w val="0.50368941382327215"/>
          <c:h val="0.8394823563721201"/>
        </c:manualLayout>
      </c:layout>
      <c:pieChart>
        <c:varyColors val="1"/>
        <c:ser>
          <c:idx val="0"/>
          <c:order val="0"/>
          <c:dPt>
            <c:idx val="0"/>
            <c:bubble3D val="0"/>
            <c:spPr>
              <a:solidFill>
                <a:srgbClr val="FFC000"/>
              </a:solidFill>
            </c:spPr>
          </c:dPt>
          <c:dPt>
            <c:idx val="1"/>
            <c:bubble3D val="0"/>
            <c:spPr>
              <a:solidFill>
                <a:srgbClr val="09E70E"/>
              </a:solidFill>
            </c:spPr>
          </c:dPt>
          <c:dPt>
            <c:idx val="2"/>
            <c:bubble3D val="0"/>
            <c:spPr>
              <a:solidFill>
                <a:srgbClr val="FFFF00"/>
              </a:solidFill>
            </c:spPr>
          </c:dPt>
          <c:dPt>
            <c:idx val="3"/>
            <c:bubble3D val="0"/>
            <c:spPr>
              <a:solidFill>
                <a:srgbClr val="FF0000"/>
              </a:solidFill>
            </c:spPr>
          </c:dPt>
          <c:dPt>
            <c:idx val="4"/>
            <c:bubble3D val="0"/>
            <c:spPr>
              <a:solidFill>
                <a:srgbClr val="7030A0"/>
              </a:solidFill>
            </c:spPr>
          </c:dPt>
          <c:dPt>
            <c:idx val="5"/>
            <c:bubble3D val="0"/>
            <c:spPr>
              <a:solidFill>
                <a:srgbClr val="C00000"/>
              </a:solidFill>
            </c:spPr>
          </c:dPt>
          <c:dPt>
            <c:idx val="6"/>
            <c:bubble3D val="0"/>
            <c:spPr>
              <a:solidFill>
                <a:srgbClr val="00B0F0"/>
              </a:solidFill>
            </c:spPr>
          </c:dPt>
          <c:dLbls>
            <c:dLbl>
              <c:idx val="2"/>
              <c:layout>
                <c:manualLayout>
                  <c:x val="1.3299431321084966E-2"/>
                  <c:y val="-4.0951808107320006E-2"/>
                </c:manualLayout>
              </c:layout>
              <c:showLegendKey val="0"/>
              <c:showVal val="1"/>
              <c:showCatName val="1"/>
              <c:showSerName val="0"/>
              <c:showPercent val="0"/>
              <c:showBubbleSize val="0"/>
              <c:separator> </c:separator>
            </c:dLbl>
            <c:dLbl>
              <c:idx val="3"/>
              <c:layout>
                <c:manualLayout>
                  <c:x val="1.3888888888888888E-2"/>
                  <c:y val="0.24778470399533384"/>
                </c:manualLayout>
              </c:layout>
              <c:showLegendKey val="0"/>
              <c:showVal val="1"/>
              <c:showCatName val="1"/>
              <c:showSerName val="0"/>
              <c:showPercent val="0"/>
              <c:showBubbleSize val="0"/>
              <c:separator> </c:separator>
            </c:dLbl>
            <c:dLbl>
              <c:idx val="4"/>
              <c:layout>
                <c:manualLayout>
                  <c:x val="-2.2705818022747157E-2"/>
                  <c:y val="1.8833479148439757E-2"/>
                </c:manualLayout>
              </c:layout>
              <c:showLegendKey val="0"/>
              <c:showVal val="1"/>
              <c:showCatName val="1"/>
              <c:showSerName val="0"/>
              <c:showPercent val="0"/>
              <c:showBubbleSize val="0"/>
              <c:separator> </c:separator>
            </c:dLbl>
            <c:dLbl>
              <c:idx val="5"/>
              <c:layout>
                <c:manualLayout>
                  <c:x val="-7.0516185476815398E-3"/>
                  <c:y val="-3.4703995333916639E-2"/>
                </c:manualLayout>
              </c:layout>
              <c:showLegendKey val="0"/>
              <c:showVal val="1"/>
              <c:showCatName val="1"/>
              <c:showSerName val="0"/>
              <c:showPercent val="0"/>
              <c:showBubbleSize val="0"/>
              <c:separator> </c:separator>
            </c:dLbl>
            <c:dLbl>
              <c:idx val="6"/>
              <c:layout>
                <c:manualLayout>
                  <c:x val="0.19256583552055992"/>
                  <c:y val="0.12254228638086906"/>
                </c:manualLayout>
              </c:layout>
              <c:showLegendKey val="0"/>
              <c:showVal val="1"/>
              <c:showCatName val="1"/>
              <c:showSerName val="0"/>
              <c:showPercent val="0"/>
              <c:showBubbleSize val="0"/>
              <c:separator> </c:separator>
            </c:dLbl>
            <c:showLegendKey val="0"/>
            <c:showVal val="1"/>
            <c:showCatName val="1"/>
            <c:showSerName val="0"/>
            <c:showPercent val="0"/>
            <c:showBubbleSize val="0"/>
            <c:separator> </c:separator>
            <c:showLeaderLines val="1"/>
          </c:dLbls>
          <c:cat>
            <c:strRef>
              <c:f>'Objectifs CO2'!$L$5:$L$11</c:f>
              <c:strCache>
                <c:ptCount val="7"/>
                <c:pt idx="0">
                  <c:v>Territoire</c:v>
                </c:pt>
                <c:pt idx="1">
                  <c:v>Agriculture</c:v>
                </c:pt>
                <c:pt idx="2">
                  <c:v>Industrie</c:v>
                </c:pt>
                <c:pt idx="3">
                  <c:v>Logement</c:v>
                </c:pt>
                <c:pt idx="4">
                  <c:v>Tertiaire</c:v>
                </c:pt>
                <c:pt idx="5">
                  <c:v>Transport</c:v>
                </c:pt>
                <c:pt idx="6">
                  <c:v>Communal</c:v>
                </c:pt>
              </c:strCache>
            </c:strRef>
          </c:cat>
          <c:val>
            <c:numRef>
              <c:f>'Objectifs CO2'!$M$5:$M$11</c:f>
              <c:numCache>
                <c:formatCode>0%</c:formatCode>
                <c:ptCount val="7"/>
                <c:pt idx="0">
                  <c:v>2.3965203117412865E-2</c:v>
                </c:pt>
                <c:pt idx="1">
                  <c:v>0</c:v>
                </c:pt>
                <c:pt idx="2">
                  <c:v>0.14176954755386245</c:v>
                </c:pt>
                <c:pt idx="3">
                  <c:v>0.24442283099626325</c:v>
                </c:pt>
                <c:pt idx="4">
                  <c:v>6.265420925842255E-2</c:v>
                </c:pt>
                <c:pt idx="5">
                  <c:v>1.325310576804406E-2</c:v>
                </c:pt>
                <c:pt idx="6">
                  <c:v>0.51393510330599479</c:v>
                </c:pt>
              </c:numCache>
            </c:numRef>
          </c:val>
        </c:ser>
        <c:dLbls>
          <c:showLegendKey val="0"/>
          <c:showVal val="0"/>
          <c:showCatName val="0"/>
          <c:showSerName val="0"/>
          <c:showPercent val="0"/>
          <c:showBubbleSize val="0"/>
          <c:showLeaderLines val="1"/>
        </c:dLbls>
        <c:firstSliceAng val="6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BE"/>
              <a:t>Economies d'énergie  - </a:t>
            </a:r>
            <a:r>
              <a:rPr lang="fr-BE" sz="1800" b="1" i="0" u="none" strike="noStrike" baseline="0">
                <a:effectLst/>
              </a:rPr>
              <a:t>MESSANCY </a:t>
            </a:r>
            <a:r>
              <a:rPr lang="fr-BE"/>
              <a:t>- Objectifs et Réalisations</a:t>
            </a:r>
          </a:p>
        </c:rich>
      </c:tx>
      <c:layout>
        <c:manualLayout>
          <c:xMode val="edge"/>
          <c:yMode val="edge"/>
          <c:x val="0.12289419467727826"/>
          <c:y val="8.9285714285714263E-3"/>
        </c:manualLayout>
      </c:layout>
      <c:overlay val="0"/>
    </c:title>
    <c:autoTitleDeleted val="0"/>
    <c:plotArea>
      <c:layout>
        <c:manualLayout>
          <c:layoutTarget val="inner"/>
          <c:xMode val="edge"/>
          <c:yMode val="edge"/>
          <c:x val="5.3592091793174403E-2"/>
          <c:y val="0.12523083052118489"/>
          <c:w val="0.91496439923556394"/>
          <c:h val="0.80021067679040125"/>
        </c:manualLayout>
      </c:layout>
      <c:barChart>
        <c:barDir val="col"/>
        <c:grouping val="clustered"/>
        <c:varyColors val="0"/>
        <c:ser>
          <c:idx val="0"/>
          <c:order val="0"/>
          <c:tx>
            <c:v>Objectif</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'Objectifs ECO'!$B$4:$B$11</c:f>
              <c:strCache>
                <c:ptCount val="8"/>
                <c:pt idx="0">
                  <c:v>Objectif territorial</c:v>
                </c:pt>
                <c:pt idx="1">
                  <c:v>Territoire</c:v>
                </c:pt>
                <c:pt idx="2">
                  <c:v>Agriculture</c:v>
                </c:pt>
                <c:pt idx="3">
                  <c:v>Industrie</c:v>
                </c:pt>
                <c:pt idx="4">
                  <c:v>Logement</c:v>
                </c:pt>
                <c:pt idx="5">
                  <c:v>Tertiaire</c:v>
                </c:pt>
                <c:pt idx="6">
                  <c:v>Transport</c:v>
                </c:pt>
                <c:pt idx="7">
                  <c:v>Communal</c:v>
                </c:pt>
              </c:strCache>
            </c:strRef>
          </c:cat>
          <c:val>
            <c:numRef>
              <c:f>'Objectifs ECO'!$C$4:$C$11</c:f>
              <c:numCache>
                <c:formatCode>_ * #,##0_ ;_ * \-#,##0_ ;_ * "-"??_ ;_ @_ </c:formatCode>
                <c:ptCount val="8"/>
                <c:pt idx="0" formatCode="0">
                  <c:v>58057.881962229505</c:v>
                </c:pt>
                <c:pt idx="1">
                  <c:v>2902.8940981114756</c:v>
                </c:pt>
                <c:pt idx="2">
                  <c:v>2902.8940981114756</c:v>
                </c:pt>
                <c:pt idx="3">
                  <c:v>2902.8940981114756</c:v>
                </c:pt>
                <c:pt idx="4">
                  <c:v>29028.940981114753</c:v>
                </c:pt>
                <c:pt idx="5">
                  <c:v>5805.7881962229512</c:v>
                </c:pt>
                <c:pt idx="6">
                  <c:v>8708.682294334425</c:v>
                </c:pt>
                <c:pt idx="7">
                  <c:v>5805.7881962229512</c:v>
                </c:pt>
              </c:numCache>
            </c:numRef>
          </c:val>
        </c:ser>
        <c:ser>
          <c:idx val="1"/>
          <c:order val="1"/>
          <c:tx>
            <c:strRef>
              <c:f>'Objectifs ECO'!$E$3</c:f>
              <c:strCache>
                <c:ptCount val="1"/>
                <c:pt idx="0">
                  <c:v>Réalisé</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'Objectifs ECO'!$B$4:$B$11</c:f>
              <c:strCache>
                <c:ptCount val="8"/>
                <c:pt idx="0">
                  <c:v>Objectif territorial</c:v>
                </c:pt>
                <c:pt idx="1">
                  <c:v>Territoire</c:v>
                </c:pt>
                <c:pt idx="2">
                  <c:v>Agriculture</c:v>
                </c:pt>
                <c:pt idx="3">
                  <c:v>Industrie</c:v>
                </c:pt>
                <c:pt idx="4">
                  <c:v>Logement</c:v>
                </c:pt>
                <c:pt idx="5">
                  <c:v>Tertiaire</c:v>
                </c:pt>
                <c:pt idx="6">
                  <c:v>Transport</c:v>
                </c:pt>
                <c:pt idx="7">
                  <c:v>Communal</c:v>
                </c:pt>
              </c:strCache>
            </c:strRef>
          </c:cat>
          <c:val>
            <c:numRef>
              <c:f>'Objectifs ECO'!$E$4:$E$11</c:f>
              <c:numCache>
                <c:formatCode>0</c:formatCode>
                <c:ptCount val="8"/>
                <c:pt idx="0">
                  <c:v>29386.037295998729</c:v>
                </c:pt>
                <c:pt idx="1">
                  <c:v>0</c:v>
                </c:pt>
                <c:pt idx="2">
                  <c:v>0</c:v>
                </c:pt>
                <c:pt idx="3">
                  <c:v>12586.160973904669</c:v>
                </c:pt>
                <c:pt idx="4">
                  <c:v>14447.358442094219</c:v>
                </c:pt>
                <c:pt idx="5">
                  <c:v>1072.4031818181816</c:v>
                </c:pt>
                <c:pt idx="6">
                  <c:v>1076.9521981816583</c:v>
                </c:pt>
                <c:pt idx="7">
                  <c:v>203.16249999999999</c:v>
                </c:pt>
              </c:numCache>
            </c:numRef>
          </c:val>
        </c:ser>
        <c:dLbls>
          <c:showLegendKey val="0"/>
          <c:showVal val="0"/>
          <c:showCatName val="0"/>
          <c:showSerName val="0"/>
          <c:showPercent val="0"/>
          <c:showBubbleSize val="0"/>
        </c:dLbls>
        <c:gapWidth val="150"/>
        <c:axId val="107286016"/>
        <c:axId val="113486656"/>
      </c:barChart>
      <c:catAx>
        <c:axId val="107286016"/>
        <c:scaling>
          <c:orientation val="minMax"/>
        </c:scaling>
        <c:delete val="0"/>
        <c:axPos val="b"/>
        <c:numFmt formatCode="General" sourceLinked="0"/>
        <c:majorTickMark val="none"/>
        <c:minorTickMark val="none"/>
        <c:tickLblPos val="nextTo"/>
        <c:crossAx val="113486656"/>
        <c:crosses val="autoZero"/>
        <c:auto val="1"/>
        <c:lblAlgn val="ctr"/>
        <c:lblOffset val="100"/>
        <c:noMultiLvlLbl val="0"/>
      </c:catAx>
      <c:valAx>
        <c:axId val="113486656"/>
        <c:scaling>
          <c:orientation val="minMax"/>
          <c:min val="0"/>
        </c:scaling>
        <c:delete val="0"/>
        <c:axPos val="l"/>
        <c:majorGridlines/>
        <c:numFmt formatCode="#,##0" sourceLinked="0"/>
        <c:majorTickMark val="none"/>
        <c:minorTickMark val="none"/>
        <c:tickLblPos val="nextTo"/>
        <c:crossAx val="107286016"/>
        <c:crosses val="autoZero"/>
        <c:crossBetween val="between"/>
      </c:valAx>
    </c:plotArea>
    <c:legend>
      <c:legendPos val="r"/>
      <c:layout>
        <c:manualLayout>
          <c:xMode val="edge"/>
          <c:yMode val="edge"/>
          <c:x val="0.91136685861035416"/>
          <c:y val="3.0965973003374593E-2"/>
          <c:w val="8.0329065330712005E-2"/>
          <c:h val="0.10763638920134984"/>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fr-BE" sz="1600"/>
              <a:t>Energies</a:t>
            </a:r>
            <a:r>
              <a:rPr lang="fr-BE" sz="1600" baseline="0"/>
              <a:t> Renouvelables  </a:t>
            </a:r>
            <a:r>
              <a:rPr lang="fr-BE" sz="1600"/>
              <a:t>- </a:t>
            </a:r>
            <a:r>
              <a:rPr lang="fr-BE" sz="1600" b="1" i="0" u="none" strike="noStrike" baseline="0">
                <a:effectLst/>
              </a:rPr>
              <a:t>MESSANCY </a:t>
            </a:r>
            <a:r>
              <a:rPr lang="fr-BE" sz="1600"/>
              <a:t>- Objectifs et Réalisations</a:t>
            </a:r>
          </a:p>
        </c:rich>
      </c:tx>
      <c:layout>
        <c:manualLayout>
          <c:xMode val="edge"/>
          <c:yMode val="edge"/>
          <c:x val="0.12289419467727826"/>
          <c:y val="8.9285714285714263E-3"/>
        </c:manualLayout>
      </c:layout>
      <c:overlay val="0"/>
    </c:title>
    <c:autoTitleDeleted val="0"/>
    <c:plotArea>
      <c:layout>
        <c:manualLayout>
          <c:layoutTarget val="inner"/>
          <c:xMode val="edge"/>
          <c:yMode val="edge"/>
          <c:x val="6.7038786340311129E-2"/>
          <c:y val="0.13118321147356576"/>
          <c:w val="0.91496439923556394"/>
          <c:h val="0.80021067679040125"/>
        </c:manualLayout>
      </c:layout>
      <c:barChart>
        <c:barDir val="col"/>
        <c:grouping val="clustered"/>
        <c:varyColors val="0"/>
        <c:ser>
          <c:idx val="0"/>
          <c:order val="0"/>
          <c:tx>
            <c:v>Objectif</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'Objectifs PER'!$B$4:$B$11</c:f>
              <c:strCache>
                <c:ptCount val="8"/>
                <c:pt idx="0">
                  <c:v>Objectif territorial</c:v>
                </c:pt>
                <c:pt idx="1">
                  <c:v>Territoire</c:v>
                </c:pt>
                <c:pt idx="2">
                  <c:v>Agriculture</c:v>
                </c:pt>
                <c:pt idx="3">
                  <c:v>Industrie</c:v>
                </c:pt>
                <c:pt idx="4">
                  <c:v>Logement</c:v>
                </c:pt>
                <c:pt idx="5">
                  <c:v>Tertiaire</c:v>
                </c:pt>
                <c:pt idx="6">
                  <c:v>Transport</c:v>
                </c:pt>
                <c:pt idx="7">
                  <c:v>Communal</c:v>
                </c:pt>
              </c:strCache>
            </c:strRef>
          </c:cat>
          <c:val>
            <c:numRef>
              <c:f>'Objectifs PER'!$C$4:$C$11</c:f>
              <c:numCache>
                <c:formatCode>_ * #,##0_ ;_ * \-#,##0_ ;_ * "-"??_ ;_ @_ </c:formatCode>
                <c:ptCount val="8"/>
                <c:pt idx="0" formatCode="0">
                  <c:v>58057.881962229505</c:v>
                </c:pt>
                <c:pt idx="1">
                  <c:v>2902.8940981114756</c:v>
                </c:pt>
                <c:pt idx="2">
                  <c:v>2902.8940981114756</c:v>
                </c:pt>
                <c:pt idx="3">
                  <c:v>2902.8940981114756</c:v>
                </c:pt>
                <c:pt idx="4">
                  <c:v>29028.940981114753</c:v>
                </c:pt>
                <c:pt idx="5">
                  <c:v>5805.7881962229512</c:v>
                </c:pt>
                <c:pt idx="6">
                  <c:v>8708.682294334425</c:v>
                </c:pt>
                <c:pt idx="7">
                  <c:v>5805.7881962229512</c:v>
                </c:pt>
              </c:numCache>
            </c:numRef>
          </c:val>
        </c:ser>
        <c:ser>
          <c:idx val="1"/>
          <c:order val="1"/>
          <c:tx>
            <c:strRef>
              <c:f>'Objectifs PER'!$E$3</c:f>
              <c:strCache>
                <c:ptCount val="1"/>
                <c:pt idx="0">
                  <c:v>Réalisé</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'Objectifs PER'!$B$4:$B$11</c:f>
              <c:strCache>
                <c:ptCount val="8"/>
                <c:pt idx="0">
                  <c:v>Objectif territorial</c:v>
                </c:pt>
                <c:pt idx="1">
                  <c:v>Territoire</c:v>
                </c:pt>
                <c:pt idx="2">
                  <c:v>Agriculture</c:v>
                </c:pt>
                <c:pt idx="3">
                  <c:v>Industrie</c:v>
                </c:pt>
                <c:pt idx="4">
                  <c:v>Logement</c:v>
                </c:pt>
                <c:pt idx="5">
                  <c:v>Tertiaire</c:v>
                </c:pt>
                <c:pt idx="6">
                  <c:v>Transport</c:v>
                </c:pt>
                <c:pt idx="7">
                  <c:v>Communal</c:v>
                </c:pt>
              </c:strCache>
            </c:strRef>
          </c:cat>
          <c:val>
            <c:numRef>
              <c:f>'Objectifs PER'!$E$4:$E$11</c:f>
              <c:numCache>
                <c:formatCode>0</c:formatCode>
                <c:ptCount val="8"/>
                <c:pt idx="0">
                  <c:v>26725.670599999998</c:v>
                </c:pt>
                <c:pt idx="1">
                  <c:v>1415.5935476878872</c:v>
                </c:pt>
                <c:pt idx="2">
                  <c:v>0</c:v>
                </c:pt>
                <c:pt idx="3">
                  <c:v>0</c:v>
                </c:pt>
                <c:pt idx="4">
                  <c:v>2564.4096000000004</c:v>
                </c:pt>
                <c:pt idx="5">
                  <c:v>1118.7</c:v>
                </c:pt>
                <c:pt idx="6">
                  <c:v>0</c:v>
                </c:pt>
                <c:pt idx="7">
                  <c:v>21626.96745231211</c:v>
                </c:pt>
              </c:numCache>
            </c:numRef>
          </c:val>
        </c:ser>
        <c:dLbls>
          <c:showLegendKey val="0"/>
          <c:showVal val="0"/>
          <c:showCatName val="0"/>
          <c:showSerName val="0"/>
          <c:showPercent val="0"/>
          <c:showBubbleSize val="0"/>
        </c:dLbls>
        <c:gapWidth val="150"/>
        <c:axId val="114361856"/>
        <c:axId val="113488960"/>
      </c:barChart>
      <c:catAx>
        <c:axId val="114361856"/>
        <c:scaling>
          <c:orientation val="minMax"/>
        </c:scaling>
        <c:delete val="0"/>
        <c:axPos val="b"/>
        <c:numFmt formatCode="General" sourceLinked="0"/>
        <c:majorTickMark val="none"/>
        <c:minorTickMark val="none"/>
        <c:tickLblPos val="nextTo"/>
        <c:crossAx val="113488960"/>
        <c:crosses val="autoZero"/>
        <c:auto val="1"/>
        <c:lblAlgn val="ctr"/>
        <c:lblOffset val="100"/>
        <c:noMultiLvlLbl val="0"/>
      </c:catAx>
      <c:valAx>
        <c:axId val="113488960"/>
        <c:scaling>
          <c:orientation val="minMax"/>
          <c:min val="0"/>
        </c:scaling>
        <c:delete val="0"/>
        <c:axPos val="l"/>
        <c:majorGridlines/>
        <c:numFmt formatCode="#,##0" sourceLinked="0"/>
        <c:majorTickMark val="none"/>
        <c:minorTickMark val="none"/>
        <c:tickLblPos val="nextTo"/>
        <c:crossAx val="114361856"/>
        <c:crosses val="autoZero"/>
        <c:crossBetween val="between"/>
      </c:valAx>
    </c:plotArea>
    <c:legend>
      <c:legendPos val="r"/>
      <c:layout>
        <c:manualLayout>
          <c:xMode val="edge"/>
          <c:yMode val="edge"/>
          <c:x val="0.89615773313506897"/>
          <c:y val="1.9061211098612679E-2"/>
          <c:w val="8.8778579483648215E-2"/>
          <c:h val="0.10763638920134984"/>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 invest / porteur de projet - déjà réalisé</a:t>
            </a:r>
          </a:p>
        </c:rich>
      </c:tx>
      <c:overlay val="0"/>
    </c:title>
    <c:autoTitleDeleted val="0"/>
    <c:plotArea>
      <c:layout>
        <c:manualLayout>
          <c:layoutTarget val="inner"/>
          <c:xMode val="edge"/>
          <c:yMode val="edge"/>
          <c:x val="0.10094378827646544"/>
          <c:y val="0.19487131816856226"/>
          <c:w val="0.48494619422572177"/>
          <c:h val="0.80512868183143771"/>
        </c:manualLayout>
      </c:layout>
      <c:pieChart>
        <c:varyColors val="1"/>
        <c:ser>
          <c:idx val="0"/>
          <c:order val="0"/>
          <c:tx>
            <c:strRef>
              <c:f>'BUDGET ATTE'!$H$3</c:f>
              <c:strCache>
                <c:ptCount val="1"/>
                <c:pt idx="0">
                  <c:v>%</c:v>
                </c:pt>
              </c:strCache>
            </c:strRef>
          </c:tx>
          <c:dPt>
            <c:idx val="0"/>
            <c:bubble3D val="0"/>
            <c:spPr>
              <a:solidFill>
                <a:srgbClr val="0070C0"/>
              </a:solidFill>
            </c:spPr>
          </c:dPt>
          <c:dPt>
            <c:idx val="1"/>
            <c:bubble3D val="0"/>
            <c:spPr>
              <a:solidFill>
                <a:srgbClr val="99FF99"/>
              </a:solidFill>
            </c:spPr>
          </c:dPt>
          <c:dPt>
            <c:idx val="2"/>
            <c:bubble3D val="0"/>
            <c:spPr>
              <a:solidFill>
                <a:srgbClr val="FF0000"/>
              </a:solidFill>
            </c:spPr>
          </c:dPt>
          <c:dPt>
            <c:idx val="4"/>
            <c:bubble3D val="0"/>
            <c:spPr>
              <a:solidFill>
                <a:srgbClr val="FFFF00"/>
              </a:solidFill>
            </c:spPr>
          </c:dPt>
          <c:dPt>
            <c:idx val="5"/>
            <c:bubble3D val="0"/>
            <c:spPr>
              <a:solidFill>
                <a:srgbClr val="00B0F0"/>
              </a:solidFill>
            </c:spPr>
          </c:dPt>
          <c:dLbls>
            <c:dLbl>
              <c:idx val="0"/>
              <c:layout>
                <c:manualLayout>
                  <c:x val="-1.5315835520559828E-2"/>
                  <c:y val="2.7354913969087197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8.6605424321959772E-3"/>
                  <c:y val="-0.4496675415573053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ATTE'!$B$4:$B$9</c:f>
              <c:strCache>
                <c:ptCount val="6"/>
                <c:pt idx="0">
                  <c:v>AC MESSANCY</c:v>
                </c:pt>
                <c:pt idx="1">
                  <c:v>Agriculteurs</c:v>
                </c:pt>
                <c:pt idx="2">
                  <c:v>Citoyens</c:v>
                </c:pt>
                <c:pt idx="3">
                  <c:v>IDELUX</c:v>
                </c:pt>
                <c:pt idx="4">
                  <c:v>Industrie</c:v>
                </c:pt>
                <c:pt idx="5">
                  <c:v>Tertiaire</c:v>
                </c:pt>
              </c:strCache>
            </c:strRef>
          </c:cat>
          <c:val>
            <c:numRef>
              <c:f>'BUDGET ATTE'!$H$4:$H$9</c:f>
              <c:numCache>
                <c:formatCode>0.0%</c:formatCode>
                <c:ptCount val="6"/>
                <c:pt idx="0">
                  <c:v>0.36433265940482373</c:v>
                </c:pt>
                <c:pt idx="1">
                  <c:v>0</c:v>
                </c:pt>
                <c:pt idx="2">
                  <c:v>0.39393241322374395</c:v>
                </c:pt>
                <c:pt idx="3">
                  <c:v>0</c:v>
                </c:pt>
                <c:pt idx="4">
                  <c:v>0.19755175122818611</c:v>
                </c:pt>
                <c:pt idx="5">
                  <c:v>4.4183176143246329E-2</c:v>
                </c:pt>
              </c:numCache>
            </c:numRef>
          </c:val>
        </c:ser>
        <c:dLbls>
          <c:showLegendKey val="0"/>
          <c:showVal val="0"/>
          <c:showCatName val="0"/>
          <c:showSerName val="0"/>
          <c:showPercent val="0"/>
          <c:showBubbleSize val="0"/>
          <c:showLeaderLines val="1"/>
        </c:dLbls>
        <c:firstSliceAng val="72"/>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 invest / secteur - déjà réalisé</a:t>
            </a:r>
          </a:p>
        </c:rich>
      </c:tx>
      <c:overlay val="0"/>
    </c:title>
    <c:autoTitleDeleted val="0"/>
    <c:plotArea>
      <c:layout>
        <c:manualLayout>
          <c:layoutTarget val="inner"/>
          <c:xMode val="edge"/>
          <c:yMode val="edge"/>
          <c:x val="9.2601268591426075E-2"/>
          <c:y val="0.16246391076115485"/>
          <c:w val="0.50252165354330713"/>
          <c:h val="0.83753608923884515"/>
        </c:manualLayout>
      </c:layout>
      <c:pieChart>
        <c:varyColors val="1"/>
        <c:ser>
          <c:idx val="0"/>
          <c:order val="0"/>
          <c:tx>
            <c:strRef>
              <c:f>'BUDGET ATTE'!$H$14</c:f>
              <c:strCache>
                <c:ptCount val="1"/>
                <c:pt idx="0">
                  <c:v>%</c:v>
                </c:pt>
              </c:strCache>
            </c:strRef>
          </c:tx>
          <c:spPr>
            <a:solidFill>
              <a:srgbClr val="0070C0"/>
            </a:solidFill>
          </c:spPr>
          <c:dPt>
            <c:idx val="0"/>
            <c:bubble3D val="0"/>
            <c:spPr>
              <a:solidFill>
                <a:srgbClr val="7030A0"/>
              </a:solidFill>
            </c:spPr>
          </c:dPt>
          <c:dPt>
            <c:idx val="1"/>
            <c:bubble3D val="0"/>
          </c:dPt>
          <c:dPt>
            <c:idx val="2"/>
            <c:bubble3D val="0"/>
          </c:dPt>
          <c:dPt>
            <c:idx val="3"/>
            <c:bubble3D val="0"/>
            <c:spPr>
              <a:solidFill>
                <a:srgbClr val="FF0000"/>
              </a:solidFill>
            </c:spPr>
          </c:dPt>
          <c:dPt>
            <c:idx val="4"/>
            <c:bubble3D val="0"/>
          </c:dPt>
          <c:dPt>
            <c:idx val="5"/>
            <c:bubble3D val="0"/>
          </c:dPt>
          <c:dPt>
            <c:idx val="6"/>
            <c:bubble3D val="0"/>
          </c:dPt>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4.2160979877515293E-3"/>
                  <c:y val="-0.52127114319043455"/>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ATTE'!$B$15:$B$21</c:f>
              <c:strCache>
                <c:ptCount val="7"/>
                <c:pt idx="0">
                  <c:v>Territorial</c:v>
                </c:pt>
                <c:pt idx="1">
                  <c:v>Agriculture</c:v>
                </c:pt>
                <c:pt idx="2">
                  <c:v>Industrie</c:v>
                </c:pt>
                <c:pt idx="3">
                  <c:v>Logement</c:v>
                </c:pt>
                <c:pt idx="4">
                  <c:v>Tertiaire</c:v>
                </c:pt>
                <c:pt idx="5">
                  <c:v>Transport</c:v>
                </c:pt>
                <c:pt idx="6">
                  <c:v>Communal</c:v>
                </c:pt>
              </c:strCache>
            </c:strRef>
          </c:cat>
          <c:val>
            <c:numRef>
              <c:f>'BUDGET ATTE'!$H$15:$H$21</c:f>
              <c:numCache>
                <c:formatCode>0.0%</c:formatCode>
                <c:ptCount val="7"/>
                <c:pt idx="0">
                  <c:v>1.1846767192459941E-2</c:v>
                </c:pt>
                <c:pt idx="1">
                  <c:v>0</c:v>
                </c:pt>
                <c:pt idx="2">
                  <c:v>0.19755175122818608</c:v>
                </c:pt>
                <c:pt idx="3">
                  <c:v>0.36417083821568985</c:v>
                </c:pt>
                <c:pt idx="4">
                  <c:v>4.4183176143246322E-2</c:v>
                </c:pt>
                <c:pt idx="5">
                  <c:v>2.9761575008054042E-2</c:v>
                </c:pt>
                <c:pt idx="6">
                  <c:v>0.35248589221236371</c:v>
                </c:pt>
              </c:numCache>
            </c:numRef>
          </c:val>
        </c:ser>
        <c:dLbls>
          <c:showLegendKey val="0"/>
          <c:showVal val="0"/>
          <c:showCatName val="0"/>
          <c:showSerName val="0"/>
          <c:showPercent val="0"/>
          <c:showBubbleSize val="0"/>
          <c:showLeaderLines val="1"/>
        </c:dLbls>
        <c:firstSliceAng val="73"/>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Budget 2020-2030 - porteur de projet</a:t>
            </a:r>
          </a:p>
        </c:rich>
      </c:tx>
      <c:layout>
        <c:manualLayout>
          <c:xMode val="edge"/>
          <c:yMode val="edge"/>
          <c:x val="0.40355555555555556"/>
          <c:y val="1.8518518518518517E-2"/>
        </c:manualLayout>
      </c:layout>
      <c:overlay val="0"/>
    </c:title>
    <c:autoTitleDeleted val="0"/>
    <c:plotArea>
      <c:layout>
        <c:manualLayout>
          <c:layoutTarget val="inner"/>
          <c:xMode val="edge"/>
          <c:yMode val="edge"/>
          <c:x val="0.11003324584426945"/>
          <c:y val="0.19095764071157773"/>
          <c:w val="0.48542541557305335"/>
          <c:h val="0.80904235928842227"/>
        </c:manualLayout>
      </c:layout>
      <c:pieChart>
        <c:varyColors val="1"/>
        <c:ser>
          <c:idx val="0"/>
          <c:order val="0"/>
          <c:tx>
            <c:strRef>
              <c:f>'BUDGET ATTE'!$H$26</c:f>
              <c:strCache>
                <c:ptCount val="1"/>
                <c:pt idx="0">
                  <c:v>%</c:v>
                </c:pt>
              </c:strCache>
            </c:strRef>
          </c:tx>
          <c:dPt>
            <c:idx val="0"/>
            <c:bubble3D val="0"/>
            <c:spPr>
              <a:solidFill>
                <a:srgbClr val="0070C0"/>
              </a:solidFill>
            </c:spPr>
          </c:dPt>
          <c:dPt>
            <c:idx val="1"/>
            <c:bubble3D val="0"/>
            <c:spPr>
              <a:solidFill>
                <a:srgbClr val="0BE325"/>
              </a:solidFill>
            </c:spPr>
          </c:dPt>
          <c:dPt>
            <c:idx val="2"/>
            <c:bubble3D val="0"/>
            <c:spPr>
              <a:solidFill>
                <a:srgbClr val="FF0000"/>
              </a:solidFill>
            </c:spPr>
          </c:dPt>
          <c:dPt>
            <c:idx val="4"/>
            <c:bubble3D val="0"/>
            <c:spPr>
              <a:solidFill>
                <a:srgbClr val="00B0F0"/>
              </a:solidFill>
            </c:spPr>
          </c:dPt>
          <c:dPt>
            <c:idx val="5"/>
            <c:bubble3D val="0"/>
            <c:spPr>
              <a:solidFill>
                <a:srgbClr val="C00000"/>
              </a:solidFill>
            </c:spPr>
          </c:dPt>
          <c:dLbls>
            <c:dLbl>
              <c:idx val="1"/>
              <c:layout>
                <c:manualLayout>
                  <c:x val="-1.7885936132983376E-2"/>
                  <c:y val="6.1868692469779309E-2"/>
                </c:manualLayout>
              </c:layout>
              <c:showLegendKey val="1"/>
              <c:showVal val="1"/>
              <c:showCatName val="1"/>
              <c:showSerName val="0"/>
              <c:showPercent val="0"/>
              <c:showBubbleSize val="0"/>
              <c:separator> </c:separator>
            </c:dLbl>
            <c:dLbl>
              <c:idx val="2"/>
              <c:layout>
                <c:manualLayout>
                  <c:x val="0"/>
                  <c:y val="0.23311862058909302"/>
                </c:manualLayout>
              </c:layout>
              <c:showLegendKey val="1"/>
              <c:showVal val="1"/>
              <c:showCatName val="1"/>
              <c:showSerName val="0"/>
              <c:showPercent val="0"/>
              <c:showBubbleSize val="0"/>
              <c:separator> </c:separator>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ATTE'!$B$27:$B$32</c:f>
              <c:strCache>
                <c:ptCount val="6"/>
                <c:pt idx="0">
                  <c:v>AC MESSANCY</c:v>
                </c:pt>
                <c:pt idx="1">
                  <c:v>Agriculteurs</c:v>
                </c:pt>
                <c:pt idx="2">
                  <c:v>Citoyens</c:v>
                </c:pt>
                <c:pt idx="3">
                  <c:v>IDELUX</c:v>
                </c:pt>
                <c:pt idx="4">
                  <c:v>Industrie</c:v>
                </c:pt>
                <c:pt idx="5">
                  <c:v>Tertiaire</c:v>
                </c:pt>
              </c:strCache>
            </c:strRef>
          </c:cat>
          <c:val>
            <c:numRef>
              <c:f>'BUDGET ATTE'!$H$27:$H$32</c:f>
              <c:numCache>
                <c:formatCode>0%</c:formatCode>
                <c:ptCount val="6"/>
                <c:pt idx="0">
                  <c:v>2.7118985591728824E-2</c:v>
                </c:pt>
                <c:pt idx="1">
                  <c:v>4.3691588294196265E-3</c:v>
                </c:pt>
                <c:pt idx="2">
                  <c:v>0.95132366163041293</c:v>
                </c:pt>
                <c:pt idx="3">
                  <c:v>5.5157705191602015E-3</c:v>
                </c:pt>
                <c:pt idx="4">
                  <c:v>1.0045388127319034E-2</c:v>
                </c:pt>
                <c:pt idx="5">
                  <c:v>1.6270353019594292E-3</c:v>
                </c:pt>
              </c:numCache>
            </c:numRef>
          </c:val>
        </c:ser>
        <c:dLbls>
          <c:showLegendKey val="0"/>
          <c:showVal val="0"/>
          <c:showCatName val="0"/>
          <c:showSerName val="0"/>
          <c:showPercent val="0"/>
          <c:showBubbleSize val="0"/>
          <c:showLeaderLines val="1"/>
        </c:dLbls>
        <c:firstSliceAng val="85"/>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Budget 2019-2030 - secteur</a:t>
            </a:r>
          </a:p>
        </c:rich>
      </c:tx>
      <c:layout>
        <c:manualLayout>
          <c:xMode val="edge"/>
          <c:yMode val="edge"/>
          <c:x val="0.37774300087489066"/>
          <c:y val="0"/>
        </c:manualLayout>
      </c:layout>
      <c:overlay val="0"/>
    </c:title>
    <c:autoTitleDeleted val="0"/>
    <c:plotArea>
      <c:layout>
        <c:manualLayout>
          <c:layoutTarget val="inner"/>
          <c:xMode val="edge"/>
          <c:yMode val="edge"/>
          <c:x val="8.5115485564304469E-2"/>
          <c:y val="0.17706875182268886"/>
          <c:w val="0.49375874890638671"/>
          <c:h val="0.82293124817731111"/>
        </c:manualLayout>
      </c:layout>
      <c:pieChart>
        <c:varyColors val="1"/>
        <c:ser>
          <c:idx val="0"/>
          <c:order val="0"/>
          <c:tx>
            <c:strRef>
              <c:f>'BUDGET ATTE'!$H$37</c:f>
              <c:strCache>
                <c:ptCount val="1"/>
                <c:pt idx="0">
                  <c:v>%</c:v>
                </c:pt>
              </c:strCache>
            </c:strRef>
          </c:tx>
          <c:dPt>
            <c:idx val="0"/>
            <c:bubble3D val="0"/>
            <c:spPr>
              <a:solidFill>
                <a:srgbClr val="7030A0"/>
              </a:solidFill>
            </c:spPr>
          </c:dPt>
          <c:dPt>
            <c:idx val="1"/>
            <c:bubble3D val="0"/>
            <c:spPr>
              <a:solidFill>
                <a:srgbClr val="0BE325"/>
              </a:solidFill>
            </c:spPr>
          </c:dPt>
          <c:dPt>
            <c:idx val="2"/>
            <c:bubble3D val="0"/>
            <c:spPr>
              <a:solidFill>
                <a:srgbClr val="00B0F0"/>
              </a:solidFill>
            </c:spPr>
          </c:dPt>
          <c:dPt>
            <c:idx val="3"/>
            <c:bubble3D val="0"/>
            <c:spPr>
              <a:solidFill>
                <a:srgbClr val="FF0000"/>
              </a:solidFill>
            </c:spPr>
          </c:dPt>
          <c:dPt>
            <c:idx val="4"/>
            <c:bubble3D val="0"/>
            <c:spPr>
              <a:solidFill>
                <a:srgbClr val="C00000"/>
              </a:solidFill>
            </c:spPr>
          </c:dPt>
          <c:dPt>
            <c:idx val="5"/>
            <c:bubble3D val="0"/>
            <c:spPr>
              <a:solidFill>
                <a:srgbClr val="FFC000"/>
              </a:solidFill>
            </c:spPr>
          </c:dPt>
          <c:dPt>
            <c:idx val="6"/>
            <c:bubble3D val="0"/>
            <c:spPr>
              <a:solidFill>
                <a:srgbClr val="0070C0"/>
              </a:solidFill>
            </c:spPr>
          </c:dPt>
          <c:dLbls>
            <c:dLbl>
              <c:idx val="1"/>
              <c:layout>
                <c:manualLayout>
                  <c:x val="0.1071139545056868"/>
                  <c:y val="1.9530516431924883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2"/>
              <c:layout>
                <c:manualLayout>
                  <c:x val="0.10596653543307087"/>
                  <c:y val="0.11715980924919588"/>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3"/>
              <c:layout>
                <c:manualLayout>
                  <c:x val="3.0257655293088364E-2"/>
                  <c:y val="-3.2043917045580482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4"/>
              <c:layout>
                <c:manualLayout>
                  <c:x val="0.19714654418197719"/>
                  <c:y val="-3.0708661417322834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5"/>
              <c:layout>
                <c:manualLayout>
                  <c:x val="2.7777777777777779E-3"/>
                  <c:y val="-0.16165797937229678"/>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6"/>
              <c:layout>
                <c:manualLayout>
                  <c:x val="-8.2243657042869636E-2"/>
                  <c:y val="-0.11509482089386713"/>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anchor="t" anchorCtr="1"/>
              <a:lstStyle/>
              <a:p>
                <a:pPr>
                  <a:defRPr/>
                </a:pPr>
                <a:endParaRPr lang="fr-FR"/>
              </a:p>
            </c:txPr>
            <c:dLblPos val="bestFit"/>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ATTE'!$B$38:$B$44</c:f>
              <c:strCache>
                <c:ptCount val="7"/>
                <c:pt idx="0">
                  <c:v>Territorial</c:v>
                </c:pt>
                <c:pt idx="1">
                  <c:v>Agriculture</c:v>
                </c:pt>
                <c:pt idx="2">
                  <c:v>Industrie</c:v>
                </c:pt>
                <c:pt idx="3">
                  <c:v>Logement</c:v>
                </c:pt>
                <c:pt idx="4">
                  <c:v>Tertiaire</c:v>
                </c:pt>
                <c:pt idx="5">
                  <c:v>Transport</c:v>
                </c:pt>
                <c:pt idx="6">
                  <c:v>Communal</c:v>
                </c:pt>
              </c:strCache>
            </c:strRef>
          </c:cat>
          <c:val>
            <c:numRef>
              <c:f>'BUDGET ATTE'!$H$38:$H$44</c:f>
              <c:numCache>
                <c:formatCode>0.0%</c:formatCode>
                <c:ptCount val="7"/>
                <c:pt idx="0">
                  <c:v>3.5001742558101148E-3</c:v>
                </c:pt>
                <c:pt idx="1">
                  <c:v>6.0238899851676872E-3</c:v>
                </c:pt>
                <c:pt idx="2">
                  <c:v>8.4575147960456436E-3</c:v>
                </c:pt>
                <c:pt idx="3">
                  <c:v>0.31088420375949816</c:v>
                </c:pt>
                <c:pt idx="4">
                  <c:v>1.6270353019594292E-3</c:v>
                </c:pt>
                <c:pt idx="5">
                  <c:v>0.6566691947621407</c:v>
                </c:pt>
                <c:pt idx="6">
                  <c:v>1.2837987139378311E-2</c:v>
                </c:pt>
              </c:numCache>
            </c:numRef>
          </c:val>
        </c:ser>
        <c:dLbls>
          <c:showLegendKey val="0"/>
          <c:showVal val="0"/>
          <c:showCatName val="0"/>
          <c:showSerName val="0"/>
          <c:showPercent val="0"/>
          <c:showBubbleSize val="0"/>
          <c:showLeaderLines val="1"/>
        </c:dLbls>
        <c:firstSliceAng val="58"/>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Budget </a:t>
            </a:r>
            <a:r>
              <a:rPr lang="fr-BE" sz="1200" baseline="0"/>
              <a:t>2007-2030 - </a:t>
            </a:r>
            <a:r>
              <a:rPr lang="fr-BE" sz="1200"/>
              <a:t> porteur de projet</a:t>
            </a:r>
          </a:p>
        </c:rich>
      </c:tx>
      <c:layout>
        <c:manualLayout>
          <c:xMode val="edge"/>
          <c:yMode val="edge"/>
          <c:x val="0.38159711286089237"/>
          <c:y val="4.6296296296296294E-3"/>
        </c:manualLayout>
      </c:layout>
      <c:overlay val="0"/>
    </c:title>
    <c:autoTitleDeleted val="0"/>
    <c:plotArea>
      <c:layout>
        <c:manualLayout>
          <c:layoutTarget val="inner"/>
          <c:xMode val="edge"/>
          <c:yMode val="edge"/>
          <c:x val="0.10372156605424321"/>
          <c:y val="0.13468613298337709"/>
          <c:w val="0.51827952755905526"/>
          <c:h val="0.8637992125984254"/>
        </c:manualLayout>
      </c:layout>
      <c:pieChart>
        <c:varyColors val="1"/>
        <c:ser>
          <c:idx val="0"/>
          <c:order val="0"/>
          <c:tx>
            <c:strRef>
              <c:f>'BUDGET ATTE'!$H$49</c:f>
              <c:strCache>
                <c:ptCount val="1"/>
                <c:pt idx="0">
                  <c:v>%</c:v>
                </c:pt>
              </c:strCache>
            </c:strRef>
          </c:tx>
          <c:dPt>
            <c:idx val="0"/>
            <c:bubble3D val="0"/>
            <c:spPr>
              <a:solidFill>
                <a:srgbClr val="0070C0"/>
              </a:solidFill>
            </c:spPr>
          </c:dPt>
          <c:dPt>
            <c:idx val="1"/>
            <c:bubble3D val="0"/>
            <c:spPr>
              <a:solidFill>
                <a:srgbClr val="0BE325"/>
              </a:solidFill>
            </c:spPr>
          </c:dPt>
          <c:dPt>
            <c:idx val="2"/>
            <c:bubble3D val="0"/>
            <c:spPr>
              <a:solidFill>
                <a:srgbClr val="FF0000"/>
              </a:solidFill>
            </c:spPr>
          </c:dPt>
          <c:dPt>
            <c:idx val="4"/>
            <c:bubble3D val="0"/>
            <c:spPr>
              <a:solidFill>
                <a:srgbClr val="00B0F0"/>
              </a:solidFill>
            </c:spPr>
          </c:dPt>
          <c:dPt>
            <c:idx val="5"/>
            <c:bubble3D val="0"/>
            <c:spPr>
              <a:solidFill>
                <a:srgbClr val="C00000"/>
              </a:solidFill>
            </c:spPr>
          </c:dPt>
          <c:dLbls>
            <c:dLbl>
              <c:idx val="0"/>
              <c:layout>
                <c:manualLayout>
                  <c:x val="4.4124234470691262E-2"/>
                  <c:y val="3.6919291338582676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1"/>
              <c:layout>
                <c:manualLayout>
                  <c:x val="4.234405074365704E-2"/>
                  <c:y val="0.12037000583260435"/>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2"/>
              <c:layout>
                <c:manualLayout>
                  <c:x val="0"/>
                  <c:y val="-0.38375583260425777"/>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3"/>
              <c:layout>
                <c:manualLayout>
                  <c:x val="1.427318460192476E-2"/>
                  <c:y val="7.3183872849227186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layout>
                <c:manualLayout>
                  <c:x val="-9.7961504811897495E-3"/>
                  <c:y val="9.3811606882473031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5"/>
              <c:layout>
                <c:manualLayout>
                  <c:x val="3.6307524059492564E-2"/>
                  <c:y val="-3.2392825896762907E-2"/>
                </c:manualLayout>
              </c:layout>
              <c:showLegendKey val="1"/>
              <c:showVal val="1"/>
              <c:showCatName val="1"/>
              <c:showSerName val="0"/>
              <c:showPercent val="0"/>
              <c:showBubbleSize val="0"/>
              <c:separator> </c:separator>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ATTE'!$B$50:$B$55</c:f>
              <c:strCache>
                <c:ptCount val="6"/>
                <c:pt idx="0">
                  <c:v>AC MESSANCY</c:v>
                </c:pt>
                <c:pt idx="1">
                  <c:v>Agriculteurs</c:v>
                </c:pt>
                <c:pt idx="2">
                  <c:v>Citoyens</c:v>
                </c:pt>
                <c:pt idx="3">
                  <c:v>IDELUX</c:v>
                </c:pt>
                <c:pt idx="4">
                  <c:v>Industrie</c:v>
                </c:pt>
                <c:pt idx="5">
                  <c:v>Tertiaire</c:v>
                </c:pt>
              </c:strCache>
            </c:strRef>
          </c:cat>
          <c:val>
            <c:numRef>
              <c:f>'BUDGET ATTE'!$H$50:$H$55</c:f>
              <c:numCache>
                <c:formatCode>0.0%</c:formatCode>
                <c:ptCount val="6"/>
                <c:pt idx="0">
                  <c:v>0.17150769602798444</c:v>
                </c:pt>
                <c:pt idx="1">
                  <c:v>2.4983651515193021E-3</c:v>
                </c:pt>
                <c:pt idx="2">
                  <c:v>0.71265895193509599</c:v>
                </c:pt>
                <c:pt idx="3">
                  <c:v>3.154018745223296E-3</c:v>
                </c:pt>
                <c:pt idx="4">
                  <c:v>9.0332173833798143E-2</c:v>
                </c:pt>
                <c:pt idx="5">
                  <c:v>1.9848794306378759E-2</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49266</xdr:colOff>
      <xdr:row>25</xdr:row>
      <xdr:rowOff>73269</xdr:rowOff>
    </xdr:from>
    <xdr:to>
      <xdr:col>7</xdr:col>
      <xdr:colOff>468366</xdr:colOff>
      <xdr:row>44</xdr:row>
      <xdr:rowOff>21981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1169275</xdr:colOff>
      <xdr:row>45</xdr:row>
      <xdr:rowOff>50581</xdr:rowOff>
    </xdr:from>
    <xdr:to>
      <xdr:col>7</xdr:col>
      <xdr:colOff>413844</xdr:colOff>
      <xdr:row>59</xdr:row>
      <xdr:rowOff>126781</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0</xdr:colOff>
      <xdr:row>60</xdr:row>
      <xdr:rowOff>0</xdr:rowOff>
    </xdr:from>
    <xdr:to>
      <xdr:col>14</xdr:col>
      <xdr:colOff>636641</xdr:colOff>
      <xdr:row>74</xdr:row>
      <xdr:rowOff>88631</xdr:rowOff>
    </xdr:to>
    <xdr:pic>
      <xdr:nvPicPr>
        <xdr:cNvPr id="7" name="Image 6"/>
        <xdr:cNvPicPr>
          <a:picLocks noChangeAspect="1"/>
        </xdr:cNvPicPr>
      </xdr:nvPicPr>
      <xdr:blipFill>
        <a:blip xmlns:r="http://schemas.openxmlformats.org/officeDocument/2006/relationships" r:embed="rId3"/>
        <a:stretch>
          <a:fillRect/>
        </a:stretch>
      </xdr:blipFill>
      <xdr:spPr>
        <a:xfrm>
          <a:off x="7429500" y="11699328"/>
          <a:ext cx="4584589" cy="2755631"/>
        </a:xfrm>
        <a:prstGeom prst="rect">
          <a:avLst/>
        </a:prstGeom>
      </xdr:spPr>
    </xdr:pic>
    <xdr:clientData/>
  </xdr:twoCellAnchor>
  <xdr:twoCellAnchor editAs="oneCell">
    <xdr:from>
      <xdr:col>8</xdr:col>
      <xdr:colOff>0</xdr:colOff>
      <xdr:row>75</xdr:row>
      <xdr:rowOff>0</xdr:rowOff>
    </xdr:from>
    <xdr:to>
      <xdr:col>14</xdr:col>
      <xdr:colOff>636117</xdr:colOff>
      <xdr:row>89</xdr:row>
      <xdr:rowOff>88265</xdr:rowOff>
    </xdr:to>
    <xdr:pic>
      <xdr:nvPicPr>
        <xdr:cNvPr id="8" name="Image 7"/>
        <xdr:cNvPicPr/>
      </xdr:nvPicPr>
      <xdr:blipFill>
        <a:blip xmlns:r="http://schemas.openxmlformats.org/officeDocument/2006/relationships" r:embed="rId4"/>
        <a:stretch>
          <a:fillRect/>
        </a:stretch>
      </xdr:blipFill>
      <xdr:spPr>
        <a:xfrm>
          <a:off x="7429500" y="14556828"/>
          <a:ext cx="4584065" cy="2755265"/>
        </a:xfrm>
        <a:prstGeom prst="rect">
          <a:avLst/>
        </a:prstGeom>
      </xdr:spPr>
    </xdr:pic>
    <xdr:clientData/>
  </xdr:twoCellAnchor>
  <xdr:twoCellAnchor editAs="oneCell">
    <xdr:from>
      <xdr:col>8</xdr:col>
      <xdr:colOff>0</xdr:colOff>
      <xdr:row>45</xdr:row>
      <xdr:rowOff>0</xdr:rowOff>
    </xdr:from>
    <xdr:to>
      <xdr:col>14</xdr:col>
      <xdr:colOff>636117</xdr:colOff>
      <xdr:row>59</xdr:row>
      <xdr:rowOff>88265</xdr:rowOff>
    </xdr:to>
    <xdr:pic>
      <xdr:nvPicPr>
        <xdr:cNvPr id="10" name="Image 9"/>
        <xdr:cNvPicPr/>
      </xdr:nvPicPr>
      <xdr:blipFill>
        <a:blip xmlns:r="http://schemas.openxmlformats.org/officeDocument/2006/relationships" r:embed="rId5"/>
        <a:stretch>
          <a:fillRect/>
        </a:stretch>
      </xdr:blipFill>
      <xdr:spPr>
        <a:xfrm>
          <a:off x="7429500" y="8841828"/>
          <a:ext cx="4584065" cy="2755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37272</xdr:colOff>
      <xdr:row>24</xdr:row>
      <xdr:rowOff>66674</xdr:rowOff>
    </xdr:from>
    <xdr:to>
      <xdr:col>7</xdr:col>
      <xdr:colOff>456372</xdr:colOff>
      <xdr:row>41</xdr:row>
      <xdr:rowOff>173935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175846</xdr:colOff>
      <xdr:row>25</xdr:row>
      <xdr:rowOff>59349</xdr:rowOff>
    </xdr:from>
    <xdr:to>
      <xdr:col>7</xdr:col>
      <xdr:colOff>594946</xdr:colOff>
      <xdr:row>42</xdr:row>
      <xdr:rowOff>161192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57150</xdr:colOff>
      <xdr:row>0</xdr:row>
      <xdr:rowOff>52387</xdr:rowOff>
    </xdr:from>
    <xdr:to>
      <xdr:col>17</xdr:col>
      <xdr:colOff>438150</xdr:colOff>
      <xdr:row>14</xdr:row>
      <xdr:rowOff>33337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85725</xdr:colOff>
      <xdr:row>0</xdr:row>
      <xdr:rowOff>14287</xdr:rowOff>
    </xdr:from>
    <xdr:to>
      <xdr:col>26</xdr:col>
      <xdr:colOff>466725</xdr:colOff>
      <xdr:row>13</xdr:row>
      <xdr:rowOff>185737</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23</xdr:row>
      <xdr:rowOff>33337</xdr:rowOff>
    </xdr:from>
    <xdr:to>
      <xdr:col>17</xdr:col>
      <xdr:colOff>400050</xdr:colOff>
      <xdr:row>37</xdr:row>
      <xdr:rowOff>14287</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504825</xdr:colOff>
      <xdr:row>23</xdr:row>
      <xdr:rowOff>23812</xdr:rowOff>
    </xdr:from>
    <xdr:to>
      <xdr:col>26</xdr:col>
      <xdr:colOff>361950</xdr:colOff>
      <xdr:row>37</xdr:row>
      <xdr:rowOff>4762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47625</xdr:colOff>
      <xdr:row>45</xdr:row>
      <xdr:rowOff>176212</xdr:rowOff>
    </xdr:from>
    <xdr:to>
      <xdr:col>17</xdr:col>
      <xdr:colOff>428625</xdr:colOff>
      <xdr:row>59</xdr:row>
      <xdr:rowOff>157162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45</xdr:row>
      <xdr:rowOff>100012</xdr:rowOff>
    </xdr:from>
    <xdr:to>
      <xdr:col>26</xdr:col>
      <xdr:colOff>409575</xdr:colOff>
      <xdr:row>59</xdr:row>
      <xdr:rowOff>80962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57150</xdr:colOff>
      <xdr:row>0</xdr:row>
      <xdr:rowOff>52387</xdr:rowOff>
    </xdr:from>
    <xdr:to>
      <xdr:col>17</xdr:col>
      <xdr:colOff>438150</xdr:colOff>
      <xdr:row>14</xdr:row>
      <xdr:rowOff>33337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85725</xdr:colOff>
      <xdr:row>0</xdr:row>
      <xdr:rowOff>14287</xdr:rowOff>
    </xdr:from>
    <xdr:to>
      <xdr:col>26</xdr:col>
      <xdr:colOff>466725</xdr:colOff>
      <xdr:row>13</xdr:row>
      <xdr:rowOff>185737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23</xdr:row>
      <xdr:rowOff>33337</xdr:rowOff>
    </xdr:from>
    <xdr:to>
      <xdr:col>17</xdr:col>
      <xdr:colOff>400050</xdr:colOff>
      <xdr:row>37</xdr:row>
      <xdr:rowOff>14287</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23</xdr:row>
      <xdr:rowOff>23812</xdr:rowOff>
    </xdr:from>
    <xdr:to>
      <xdr:col>26</xdr:col>
      <xdr:colOff>390525</xdr:colOff>
      <xdr:row>37</xdr:row>
      <xdr:rowOff>4762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47625</xdr:colOff>
      <xdr:row>45</xdr:row>
      <xdr:rowOff>176212</xdr:rowOff>
    </xdr:from>
    <xdr:to>
      <xdr:col>17</xdr:col>
      <xdr:colOff>428625</xdr:colOff>
      <xdr:row>59</xdr:row>
      <xdr:rowOff>157162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45</xdr:row>
      <xdr:rowOff>100012</xdr:rowOff>
    </xdr:from>
    <xdr:to>
      <xdr:col>26</xdr:col>
      <xdr:colOff>409575</xdr:colOff>
      <xdr:row>59</xdr:row>
      <xdr:rowOff>80962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TAIL%20PAED%20LA%20ROCH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TAIL%20PAED%20TENNEVIL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ETAIL%20PAED%20LIBI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conrotte/Documents/CONVENTION%20DES%20MAIRES/COMMUNES%20COM/AAFICHES%20ACTIONS/FA%20PAEDC%20MESSANCY%20A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conrotte/Documents/CONVENTION%20DES%20MAIRES/COMMUNES%20COM/AAFICHES%20ACTIONS/DETAIL%20PAED%20TENNEVILL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ETAIL%20PAED%20DAVERDIS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CO2"/>
      <sheetName val="Objectifs ECO"/>
      <sheetName val="Objectifs PER"/>
      <sheetName val="Synthèse CO2"/>
      <sheetName val="Synthèse ECO"/>
      <sheetName val="Synthèse PER"/>
      <sheetName val="Budget"/>
      <sheetName val="Agenda communal"/>
      <sheetName val="ADO-1"/>
      <sheetName val="ADO-2"/>
      <sheetName val="ADO-3"/>
      <sheetName val="ADO-4"/>
      <sheetName val="ADO-5"/>
      <sheetName val="ADO-6"/>
      <sheetName val="ADO-7"/>
      <sheetName val="ADO-8"/>
      <sheetName val="ADO-9"/>
      <sheetName val="ADO-10"/>
      <sheetName val="ADO-11"/>
      <sheetName val="ADO-12"/>
      <sheetName val="ADO-13"/>
      <sheetName val="ADO-14"/>
      <sheetName val="ADO-15"/>
      <sheetName val="ADU-1"/>
      <sheetName val="ADU-2"/>
      <sheetName val="ADU-3"/>
      <sheetName val="ADU-4"/>
      <sheetName val="ADU-5"/>
      <sheetName val="ADU-6"/>
      <sheetName val="ADU-61"/>
      <sheetName val="ADU-7"/>
      <sheetName val="ADU-8"/>
      <sheetName val="ADU-9"/>
      <sheetName val="ADU-10"/>
      <sheetName val="ADU-11"/>
      <sheetName val="ADU-12"/>
      <sheetName val="ADU-13"/>
      <sheetName val="ADU-131"/>
      <sheetName val="ADU-14"/>
      <sheetName val="ADU-15"/>
      <sheetName val="ADU-16"/>
      <sheetName val="ADU-17"/>
      <sheetName val="ADU-18"/>
      <sheetName val="ADU-19"/>
      <sheetName val="ADU-20"/>
      <sheetName val="ADU-21"/>
      <sheetName val="ADU-22"/>
      <sheetName val="ADU-23"/>
      <sheetName val="ADU-24"/>
      <sheetName val="ADU-25"/>
      <sheetName val="ADU-26"/>
      <sheetName val="ADU-27"/>
      <sheetName val="ADU-28"/>
      <sheetName val="ADU-29"/>
      <sheetName val="ADU-30"/>
      <sheetName val="ADU-31"/>
      <sheetName val="ADU-32"/>
      <sheetName val="ADU-33"/>
      <sheetName val="ADU-34"/>
      <sheetName val="ADU-35"/>
      <sheetName val="ADU-361"/>
      <sheetName val="ADU-362"/>
      <sheetName val="ADU-363"/>
      <sheetName val="ADU-364"/>
      <sheetName val="ADU-37"/>
      <sheetName val="ADU-38"/>
      <sheetName val="ADU-389"/>
      <sheetName val="ADU-39"/>
      <sheetName val="ADU-40"/>
      <sheetName val="TOIT"/>
      <sheetName val="MUR"/>
      <sheetName val="SOL"/>
      <sheetName val="FEN"/>
      <sheetName val="CHAUD"/>
      <sheetName val="RESUM"/>
      <sheetName val="CALENDRIER"/>
      <sheetName val="ADU-121"/>
      <sheetName val="ADU-122"/>
      <sheetName val="Feuil1"/>
    </sheetNames>
    <sheetDataSet>
      <sheetData sheetId="0">
        <row r="4">
          <cell r="C4">
            <v>4733.4299835428537</v>
          </cell>
        </row>
        <row r="7">
          <cell r="C7">
            <v>1420.028995062856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CO2"/>
      <sheetName val="Objectifs ECO"/>
      <sheetName val="Objectifs PER"/>
      <sheetName val="Synthèse CO2"/>
      <sheetName val="Synthèse ECO"/>
      <sheetName val="Synthèse PER"/>
      <sheetName val="Budget"/>
      <sheetName val="Agenda communal"/>
      <sheetName val="ADO-1"/>
      <sheetName val="ADO-2"/>
      <sheetName val="ADO-3"/>
      <sheetName val="ADO-4"/>
      <sheetName val="ADO-5"/>
      <sheetName val="ADO-6"/>
      <sheetName val="ADO-7"/>
      <sheetName val="ADO-8"/>
      <sheetName val="ADO-9"/>
      <sheetName val="ADO-10"/>
      <sheetName val="ADO-11"/>
      <sheetName val="ADO-12"/>
      <sheetName val="ADO-13"/>
      <sheetName val="ADO-14"/>
      <sheetName val="ADO-15"/>
      <sheetName val="ADO-16"/>
      <sheetName val="ADU-1"/>
      <sheetName val="ADU-2"/>
      <sheetName val="ADU-221"/>
      <sheetName val="ADU-222"/>
      <sheetName val="ADU-3"/>
      <sheetName val="ADU-4"/>
      <sheetName val="ADU-5"/>
      <sheetName val="ADU-6"/>
      <sheetName val="ADU-61"/>
      <sheetName val="ADU-7"/>
      <sheetName val="ADU-8"/>
      <sheetName val="ADU-9"/>
      <sheetName val="ADU-10"/>
      <sheetName val="ADU-11"/>
      <sheetName val="ADU-12"/>
      <sheetName val="ADU-13"/>
      <sheetName val="ADU-131"/>
      <sheetName val="ADU-14"/>
      <sheetName val="ADU-15"/>
      <sheetName val="ADU-16"/>
      <sheetName val="ADU-17"/>
      <sheetName val="ADU-18"/>
      <sheetName val="ADU-19"/>
      <sheetName val="ADU-20"/>
      <sheetName val="ADU-21"/>
      <sheetName val="ADU-22"/>
      <sheetName val="ADU-23"/>
      <sheetName val="ADU-24"/>
      <sheetName val="ADU-25"/>
      <sheetName val="ADU-26"/>
      <sheetName val="ADU-27"/>
      <sheetName val="ADU-28"/>
      <sheetName val="ADU-29"/>
      <sheetName val="ADU-30"/>
      <sheetName val="ADU-31"/>
      <sheetName val="ADU-32"/>
      <sheetName val="ADU-33"/>
      <sheetName val="ADU-34"/>
      <sheetName val="ADU-35"/>
      <sheetName val="ADU-361"/>
      <sheetName val="ADU-362"/>
      <sheetName val="ADU-363"/>
      <sheetName val="ADU-364"/>
      <sheetName val="ADU-37"/>
      <sheetName val="ADU-38"/>
      <sheetName val="ADU-389"/>
      <sheetName val="ADU-39"/>
      <sheetName val="ADU-40"/>
      <sheetName val="ADU-41"/>
      <sheetName val="TOIT"/>
      <sheetName val="MUR"/>
      <sheetName val="SOL"/>
      <sheetName val="FEN"/>
      <sheetName val="CHAUD"/>
      <sheetName val="RESUM"/>
      <sheetName val="CALENDRIER"/>
    </sheetNames>
    <sheetDataSet>
      <sheetData sheetId="0">
        <row r="4">
          <cell r="C4">
            <v>2976.6000000000004</v>
          </cell>
        </row>
        <row r="6">
          <cell r="C6">
            <v>148.83000000000001</v>
          </cell>
        </row>
        <row r="7">
          <cell r="C7">
            <v>892.98000000000013</v>
          </cell>
        </row>
      </sheetData>
      <sheetData sheetId="1"/>
      <sheetData sheetId="2"/>
      <sheetData sheetId="3">
        <row r="70">
          <cell r="AU70">
            <v>6063.5249999999996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CO2"/>
      <sheetName val="Objectifs ECO"/>
      <sheetName val="Objectifs PER"/>
      <sheetName val="Synthèse CO2"/>
      <sheetName val="Synthèse ECO"/>
      <sheetName val="Synthèse PER"/>
      <sheetName val="Budget"/>
      <sheetName val="Agenda communal"/>
      <sheetName val="ADO-1"/>
      <sheetName val="ADO-2"/>
      <sheetName val="ADO-3"/>
      <sheetName val="ADO-4"/>
      <sheetName val="ADO-5"/>
      <sheetName val="ADO-6"/>
      <sheetName val="ADO-7"/>
      <sheetName val="ADO-8"/>
      <sheetName val="ADO-9"/>
      <sheetName val="ADO-10"/>
      <sheetName val="ADO-11"/>
      <sheetName val="ADO-12"/>
      <sheetName val="ADO-13"/>
      <sheetName val="ADO-14"/>
      <sheetName val="ADO-15"/>
      <sheetName val="ADO-16"/>
      <sheetName val="ADO-17"/>
      <sheetName val="ADU-1"/>
      <sheetName val="ADU-2"/>
      <sheetName val="ADU-3"/>
      <sheetName val="ADU-41"/>
      <sheetName val="ADU-42"/>
      <sheetName val="ADU-43"/>
      <sheetName val="ADU-44"/>
      <sheetName val="ADU-45"/>
      <sheetName val="ADU-5"/>
      <sheetName val="ADU-6"/>
      <sheetName val="ADU-61"/>
      <sheetName val="ADU-7"/>
      <sheetName val="ADU-8"/>
      <sheetName val="ADU-9"/>
      <sheetName val="ADU-10"/>
      <sheetName val="ADU-110"/>
      <sheetName val="ADU-111"/>
      <sheetName val="ADU-112"/>
      <sheetName val="ADU-113"/>
      <sheetName val="ADU-12"/>
      <sheetName val="ADU-13"/>
      <sheetName val="ADU-131"/>
      <sheetName val="ADU-14"/>
      <sheetName val="ADU-15"/>
      <sheetName val="ADU-16"/>
      <sheetName val="ADU-17"/>
      <sheetName val="ADU-18"/>
      <sheetName val="ADU-19"/>
      <sheetName val="ADU-20"/>
      <sheetName val="ADU-21"/>
      <sheetName val="ADU-22"/>
      <sheetName val="ADU-23"/>
      <sheetName val="ADU-24"/>
      <sheetName val="ADU-25"/>
      <sheetName val="ADU-26"/>
      <sheetName val="ADU-27"/>
      <sheetName val="ADU-28"/>
      <sheetName val="ADU-29"/>
      <sheetName val="ADU-30"/>
      <sheetName val="ADU-31"/>
      <sheetName val="ADU-32"/>
      <sheetName val="ADU-33"/>
      <sheetName val="ADU-34"/>
      <sheetName val="ADU-35"/>
      <sheetName val="ADU-361"/>
      <sheetName val="ADU-362"/>
      <sheetName val="ADU-363"/>
      <sheetName val="ADU-364"/>
      <sheetName val="ADU-37"/>
      <sheetName val="ADU-38"/>
      <sheetName val="ADU-389"/>
      <sheetName val="ADU-39"/>
      <sheetName val="ADU-40"/>
      <sheetName val="URCHAL"/>
      <sheetName val="URELEC"/>
      <sheetName val="ADOUCES"/>
      <sheetName val="TOIT"/>
      <sheetName val="MUR"/>
      <sheetName val="SOL"/>
      <sheetName val="FEN"/>
      <sheetName val="CHAUD"/>
      <sheetName val="RESUM"/>
      <sheetName val="CALENDRIER"/>
    </sheetNames>
    <sheetDataSet>
      <sheetData sheetId="0" refreshError="1">
        <row r="4">
          <cell r="C4">
            <v>9543.8280684958245</v>
          </cell>
        </row>
        <row r="6">
          <cell r="C6">
            <v>477.19140342479125</v>
          </cell>
        </row>
        <row r="7">
          <cell r="C7">
            <v>2863.1484205487473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MEROTATION"/>
      <sheetName val="Objectifs CO2"/>
      <sheetName val="Objectifs ECO"/>
      <sheetName val="Objectifs PER"/>
      <sheetName val="Synthèse CO2"/>
      <sheetName val="Synthèse ECO"/>
      <sheetName val="Synthèse PER"/>
      <sheetName val="BUDGET ATTE"/>
      <sheetName val="BUDGET ADAPT"/>
      <sheetName val="CALENDRIER"/>
      <sheetName val="PRIORITES"/>
      <sheetName val="ADO-1"/>
      <sheetName val="ADO-2"/>
      <sheetName val="ADO-3"/>
      <sheetName val="ADO-4"/>
      <sheetName val="ADO-5"/>
      <sheetName val="ADO-6"/>
      <sheetName val="ADO-20"/>
      <sheetName val="ADO-21"/>
      <sheetName val="ADO-22"/>
      <sheetName val="ADO-23"/>
      <sheetName val="ADO-24"/>
      <sheetName val="ADO-25"/>
      <sheetName val="ADO-26"/>
      <sheetName val="ADO-27"/>
      <sheetName val="ADO-28"/>
      <sheetName val="ADO-40"/>
      <sheetName val="ADO-41"/>
      <sheetName val="ADU-1"/>
      <sheetName val="ADU-2"/>
      <sheetName val="ADU-3"/>
      <sheetName val="ADU-4"/>
      <sheetName val="ADU-5"/>
      <sheetName val="ADU-6"/>
      <sheetName val="ADU-7"/>
      <sheetName val="ADU-8"/>
      <sheetName val="ADU-9"/>
      <sheetName val="ADU-10"/>
      <sheetName val="ADU-11"/>
      <sheetName val="ADU-12"/>
      <sheetName val="ADU-13"/>
      <sheetName val="ADU-14"/>
      <sheetName val="ADU-15"/>
      <sheetName val="ADU-16"/>
      <sheetName val="ADU-17"/>
      <sheetName val="ADU-18"/>
      <sheetName val="ADU-19"/>
      <sheetName val="ADU-20"/>
      <sheetName val="ADU-21"/>
      <sheetName val="ADU-22"/>
      <sheetName val="ADU-23"/>
      <sheetName val="ADU-24"/>
      <sheetName val="ADU-30"/>
      <sheetName val="ADU-31"/>
      <sheetName val="ADU-32"/>
      <sheetName val="ADU-33"/>
      <sheetName val="ADU-50"/>
      <sheetName val="ADU-51"/>
      <sheetName val="ADU-52"/>
      <sheetName val="ADU-53"/>
      <sheetName val="ADU-54"/>
      <sheetName val="ADU-55"/>
      <sheetName val="ADU-56"/>
      <sheetName val="ADU-70"/>
      <sheetName val="ADU-71"/>
      <sheetName val="ADU-72"/>
      <sheetName val="ADU-73"/>
      <sheetName val="ADU-74"/>
      <sheetName val="ADU-75"/>
      <sheetName val="ADU-76"/>
      <sheetName val="ADU-80"/>
      <sheetName val="ADU-81"/>
      <sheetName val="ADU-82"/>
      <sheetName val="ADU-83"/>
      <sheetName val="ADU-90"/>
      <sheetName val="ADU-91"/>
      <sheetName val="ADU-92"/>
      <sheetName val="ADU-93"/>
      <sheetName val="ADU-94"/>
      <sheetName val="ADU-100"/>
      <sheetName val="ADU-101"/>
      <sheetName val="ADU-102"/>
      <sheetName val="ADU-121"/>
      <sheetName val="ADU-122"/>
      <sheetName val="ADU-123"/>
      <sheetName val="ADU-124"/>
      <sheetName val="ADU-140"/>
      <sheetName val="ADA-1"/>
      <sheetName val="ADA-2"/>
      <sheetName val="ADA-3"/>
      <sheetName val="ADA-4"/>
      <sheetName val="ADA-5"/>
      <sheetName val="ADA-6"/>
      <sheetName val="ADA-7"/>
      <sheetName val="ADA-8"/>
      <sheetName val="ADA-9"/>
      <sheetName val="ADA-10"/>
      <sheetName val="ADA-11"/>
      <sheetName val="ADA-12"/>
      <sheetName val="ADA-13"/>
      <sheetName val="ADA-20"/>
      <sheetName val="ADA-21"/>
      <sheetName val="ADA-22"/>
      <sheetName val="ADA-23"/>
      <sheetName val="TOIT"/>
      <sheetName val="MUR"/>
      <sheetName val="SOL"/>
      <sheetName val="FEN"/>
      <sheetName val="CHAUD"/>
      <sheetName val="RESUM"/>
      <sheetName val="Feuil1"/>
      <sheetName val="DATA SP"/>
      <sheetName val="BLASONS"/>
      <sheetName val="Feuil2"/>
    </sheetNames>
    <sheetDataSet>
      <sheetData sheetId="0"/>
      <sheetData sheetId="1">
        <row r="4">
          <cell r="C4">
            <v>21681.718487909384</v>
          </cell>
        </row>
        <row r="6">
          <cell r="C6">
            <v>1084.0859243954692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20">
          <cell r="B20">
            <v>317382.54768788727</v>
          </cell>
        </row>
        <row r="25">
          <cell r="B25">
            <v>159.84539219917232</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CO2"/>
      <sheetName val="Objectifs ECO"/>
      <sheetName val="Objectifs PER"/>
      <sheetName val="Synthèse CO2"/>
      <sheetName val="Synthèse ECO"/>
      <sheetName val="Synthèse PER"/>
      <sheetName val="Budget"/>
      <sheetName val="Agenda communal"/>
      <sheetName val="ADO-1"/>
      <sheetName val="ADO-2"/>
      <sheetName val="ADO-3"/>
      <sheetName val="ADO-4"/>
      <sheetName val="ADO-5"/>
      <sheetName val="ADO-6"/>
      <sheetName val="ADO-7"/>
      <sheetName val="ADO-8"/>
      <sheetName val="ADO-9"/>
      <sheetName val="ADO-10"/>
      <sheetName val="ADO-11"/>
      <sheetName val="ADO-12"/>
      <sheetName val="ADO-13"/>
      <sheetName val="ADO-14"/>
      <sheetName val="ADO-15"/>
      <sheetName val="ADO-16"/>
      <sheetName val="ADU-1"/>
      <sheetName val="ADU-2"/>
      <sheetName val="ADU-221"/>
      <sheetName val="ADU-222"/>
      <sheetName val="ADU-3"/>
      <sheetName val="ADU-4"/>
      <sheetName val="ADU-5"/>
      <sheetName val="ADU-6"/>
      <sheetName val="ADU-61"/>
      <sheetName val="ADU-7"/>
      <sheetName val="ADU-8"/>
      <sheetName val="ADU-9"/>
      <sheetName val="ADU-10"/>
      <sheetName val="ADU-11"/>
      <sheetName val="ADU-12"/>
      <sheetName val="ADU-13"/>
      <sheetName val="ADU-131"/>
      <sheetName val="ADU-14"/>
      <sheetName val="ADU-15"/>
      <sheetName val="ADU-16"/>
      <sheetName val="ADU-17"/>
      <sheetName val="ADU-18"/>
      <sheetName val="ADU-19"/>
      <sheetName val="ADU-20"/>
      <sheetName val="ADU-21"/>
      <sheetName val="ADU-22"/>
      <sheetName val="ADU-23"/>
      <sheetName val="ADU-24"/>
      <sheetName val="ADU-25"/>
      <sheetName val="ADU-26"/>
      <sheetName val="ADU-27"/>
      <sheetName val="ADU-28"/>
      <sheetName val="ADU-29"/>
      <sheetName val="ADU-30"/>
      <sheetName val="ADU-31"/>
      <sheetName val="ADU-32"/>
      <sheetName val="ADU-33"/>
      <sheetName val="ADU-34"/>
      <sheetName val="ADU-35"/>
      <sheetName val="ADU-361"/>
      <sheetName val="ADU-362"/>
      <sheetName val="ADU-363"/>
      <sheetName val="ADU-364"/>
      <sheetName val="ADU-37"/>
      <sheetName val="ADU-38"/>
      <sheetName val="ADU-389"/>
      <sheetName val="ADU-39"/>
      <sheetName val="ADU-40"/>
      <sheetName val="ADU-41"/>
      <sheetName val="TOIT"/>
      <sheetName val="MUR"/>
      <sheetName val="SOL"/>
      <sheetName val="FEN"/>
      <sheetName val="CHAUD"/>
      <sheetName val="RESUM"/>
      <sheetName val="CALENDRIER"/>
    </sheetNames>
    <sheetDataSet>
      <sheetData sheetId="0" refreshError="1">
        <row r="4">
          <cell r="C4">
            <v>2976.6000000000004</v>
          </cell>
        </row>
        <row r="6">
          <cell r="C6">
            <v>148.83000000000001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CO2"/>
      <sheetName val="Objectifs ECO"/>
      <sheetName val="Objectifs PER"/>
      <sheetName val="Synthèse CO2"/>
      <sheetName val="Synthèse ECO"/>
      <sheetName val="Synthèse PER"/>
      <sheetName val="Budget"/>
      <sheetName val="Agenda communal"/>
      <sheetName val="ADO-1"/>
      <sheetName val="ADO-2"/>
      <sheetName val="ADO-3"/>
      <sheetName val="ADO-4"/>
      <sheetName val="ADO-5"/>
      <sheetName val="ADO-6"/>
      <sheetName val="ADO-7"/>
      <sheetName val="ADO-8"/>
      <sheetName val="ADO-9"/>
      <sheetName val="ADO-10"/>
      <sheetName val="ADO-11"/>
      <sheetName val="ADO-12"/>
      <sheetName val="ADO-13"/>
      <sheetName val="ADO-14"/>
      <sheetName val="ADO-15"/>
      <sheetName val="ADU-1"/>
      <sheetName val="ADU-2"/>
      <sheetName val="ADU-3"/>
      <sheetName val="ADU-4"/>
      <sheetName val="ADU-5"/>
      <sheetName val="ADU-51"/>
      <sheetName val="ADU-52"/>
      <sheetName val="ADU-53"/>
      <sheetName val="ADU-54"/>
      <sheetName val="ADU-55"/>
      <sheetName val="ADU-56"/>
      <sheetName val="ADU-57"/>
      <sheetName val="ADU-58"/>
      <sheetName val="ADU-59"/>
      <sheetName val="ADU-6"/>
      <sheetName val="ADU-61"/>
      <sheetName val="ADU-62"/>
      <sheetName val="ADU-63"/>
      <sheetName val="ADU-7"/>
      <sheetName val="ADU-8"/>
      <sheetName val="ADU-9"/>
      <sheetName val="ADU-10"/>
      <sheetName val="ADU-11"/>
      <sheetName val="ADU-12"/>
      <sheetName val="ADU-13"/>
      <sheetName val="ADU-131"/>
      <sheetName val="ADU-14"/>
      <sheetName val="ADU-15"/>
      <sheetName val="ADU-16"/>
      <sheetName val="ADU-17"/>
      <sheetName val="ADU-18"/>
      <sheetName val="ADU-19"/>
      <sheetName val="ADU-20"/>
      <sheetName val="ADU-21"/>
      <sheetName val="ADU-22"/>
      <sheetName val="ADU-23"/>
      <sheetName val="ADU-24"/>
      <sheetName val="ADU-25"/>
      <sheetName val="ADU-26"/>
      <sheetName val="ADU-27"/>
      <sheetName val="ADU-28"/>
      <sheetName val="ADU-29"/>
      <sheetName val="ADU-30"/>
      <sheetName val="ADU-31"/>
      <sheetName val="ADU-32"/>
      <sheetName val="ADU-33"/>
      <sheetName val="ADU-34"/>
      <sheetName val="ADU-35"/>
      <sheetName val="ADU-361"/>
      <sheetName val="ADU-362"/>
      <sheetName val="ADU-363"/>
      <sheetName val="ADU-364"/>
      <sheetName val="ADU-37"/>
      <sheetName val="ADU-371"/>
      <sheetName val="ADU-38"/>
      <sheetName val="ADU-381"/>
      <sheetName val="ADU-389"/>
      <sheetName val="ADU-39"/>
      <sheetName val="ADU-40"/>
      <sheetName val="TOIT"/>
      <sheetName val="MUR"/>
      <sheetName val="SOL"/>
      <sheetName val="FEN"/>
      <sheetName val="CHAUD"/>
      <sheetName val="RESUM"/>
      <sheetName val="CALENDRIER"/>
      <sheetName val="Feuil1"/>
    </sheetNames>
    <sheetDataSet>
      <sheetData sheetId="0" refreshError="1">
        <row r="4">
          <cell r="C4">
            <v>1051.7391228596011</v>
          </cell>
        </row>
        <row r="9">
          <cell r="C9">
            <v>210.34782457192023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hyperlink" Target="mailto:zerodechet@espace-environnement.be."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ef4.be/documents/eloral_images/qualiwatt-les-derniers-developpements-reglementaires-et-les-details-pratiques-de-la-mise-en-oeuvre-du-systeme-de-soutien.pdf"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ef4.be/documents/eloral_images/qualiwatt-les-derniers-developpements-reglementaires-et-les-details-pratiques-de-la-mise-en-oeuvre-du-systeme-de-soutien.pdf"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http://www.ef4.be/documents/eloral_images/qualiwatt-les-derniers-developpements-reglementaires-et-les-details-pratiques-de-la-mise-en-oeuvre-du-systeme-de-soutien.pdf" TargetMode="External"/><Relationship Id="rId2" Type="http://schemas.openxmlformats.org/officeDocument/2006/relationships/hyperlink" Target="http://www.ef4.be/fr/photovoltaique/cv/" TargetMode="External"/><Relationship Id="rId1" Type="http://schemas.openxmlformats.org/officeDocument/2006/relationships/hyperlink" Target="http://www.cwape.be/docs/?doc=1459" TargetMode="External"/><Relationship Id="rId4" Type="http://schemas.openxmlformats.org/officeDocument/2006/relationships/printerSettings" Target="../printerSettings/printerSettings55.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www.ef4.be/documents/eloral_images/qualiwatt-les-derniers-developpements-reglementaires-et-les-details-pratiques-de-la-mise-en-oeuvre-du-systeme-de-soutien.pdf" TargetMode="External"/><Relationship Id="rId1" Type="http://schemas.openxmlformats.org/officeDocument/2006/relationships/hyperlink" Target="http://www.ef4.be/fr/photovoltaique/cv/"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ef4.be/documents/eloral_images/qualiwatt-les-derniers-developpements-reglementaires-et-les-details-pratiques-de-la-mise-en-oeuvre-du-systeme-de-souti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D15"/>
  <sheetViews>
    <sheetView topLeftCell="A4" workbookViewId="0">
      <selection activeCell="H9" sqref="H9"/>
    </sheetView>
  </sheetViews>
  <sheetFormatPr baseColWidth="10" defaultRowHeight="15" x14ac:dyDescent="0.25"/>
  <cols>
    <col min="2" max="2" width="30.85546875" customWidth="1"/>
    <col min="3" max="4" width="24.5703125" customWidth="1"/>
  </cols>
  <sheetData>
    <row r="3" spans="2:4" ht="35.25" customHeight="1" x14ac:dyDescent="0.25">
      <c r="B3" s="6"/>
      <c r="C3" s="959" t="s">
        <v>760</v>
      </c>
      <c r="D3" s="959"/>
    </row>
    <row r="4" spans="2:4" ht="35.25" customHeight="1" x14ac:dyDescent="0.25">
      <c r="B4" s="424" t="s">
        <v>745</v>
      </c>
      <c r="C4" s="425" t="s">
        <v>761</v>
      </c>
      <c r="D4" s="425" t="s">
        <v>762</v>
      </c>
    </row>
    <row r="5" spans="2:4" ht="29.25" customHeight="1" x14ac:dyDescent="0.25">
      <c r="B5" s="426" t="s">
        <v>744</v>
      </c>
      <c r="C5" s="427">
        <v>1</v>
      </c>
      <c r="D5" s="427">
        <v>19</v>
      </c>
    </row>
    <row r="6" spans="2:4" ht="29.25" customHeight="1" x14ac:dyDescent="0.25">
      <c r="B6" s="426" t="s">
        <v>434</v>
      </c>
      <c r="C6" s="427">
        <v>20</v>
      </c>
      <c r="D6" s="427">
        <v>39</v>
      </c>
    </row>
    <row r="7" spans="2:4" ht="29.25" customHeight="1" x14ac:dyDescent="0.25">
      <c r="B7" s="426" t="s">
        <v>742</v>
      </c>
      <c r="C7" s="427">
        <v>40</v>
      </c>
      <c r="D7" s="427">
        <v>59</v>
      </c>
    </row>
    <row r="8" spans="2:4" ht="29.25" customHeight="1" x14ac:dyDescent="0.25">
      <c r="B8" s="426" t="s">
        <v>457</v>
      </c>
      <c r="C8" s="428">
        <v>1</v>
      </c>
      <c r="D8" s="428">
        <v>49</v>
      </c>
    </row>
    <row r="9" spans="2:4" ht="29.25" customHeight="1" x14ac:dyDescent="0.25">
      <c r="B9" s="426" t="s">
        <v>746</v>
      </c>
      <c r="C9" s="428">
        <v>50</v>
      </c>
      <c r="D9" s="428">
        <v>69</v>
      </c>
    </row>
    <row r="10" spans="2:4" ht="29.25" customHeight="1" x14ac:dyDescent="0.25">
      <c r="B10" s="426" t="s">
        <v>747</v>
      </c>
      <c r="C10" s="428">
        <v>70</v>
      </c>
      <c r="D10" s="428">
        <v>99</v>
      </c>
    </row>
    <row r="11" spans="2:4" ht="29.25" customHeight="1" x14ac:dyDescent="0.25">
      <c r="B11" s="426" t="s">
        <v>748</v>
      </c>
      <c r="C11" s="428">
        <v>100</v>
      </c>
      <c r="D11" s="428">
        <v>119</v>
      </c>
    </row>
    <row r="12" spans="2:4" ht="29.25" customHeight="1" x14ac:dyDescent="0.25">
      <c r="B12" s="426" t="s">
        <v>749</v>
      </c>
      <c r="C12" s="428">
        <v>120</v>
      </c>
      <c r="D12" s="428">
        <v>139</v>
      </c>
    </row>
    <row r="13" spans="2:4" ht="29.25" customHeight="1" x14ac:dyDescent="0.25">
      <c r="B13" s="426" t="s">
        <v>486</v>
      </c>
      <c r="C13" s="428">
        <v>140</v>
      </c>
      <c r="D13" s="428">
        <v>149</v>
      </c>
    </row>
    <row r="14" spans="2:4" ht="29.25" customHeight="1" x14ac:dyDescent="0.25">
      <c r="B14" s="430" t="s">
        <v>769</v>
      </c>
      <c r="C14" s="429">
        <v>0</v>
      </c>
      <c r="D14" s="429">
        <v>19</v>
      </c>
    </row>
    <row r="15" spans="2:4" ht="29.25" customHeight="1" x14ac:dyDescent="0.25">
      <c r="B15" s="426" t="s">
        <v>765</v>
      </c>
      <c r="C15" s="429">
        <v>20</v>
      </c>
      <c r="D15" s="429">
        <v>39</v>
      </c>
    </row>
  </sheetData>
  <mergeCells count="1">
    <mergeCell ref="C3:D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S130"/>
  <sheetViews>
    <sheetView topLeftCell="A106" workbookViewId="0">
      <selection activeCell="B113" sqref="B113:AP130"/>
    </sheetView>
  </sheetViews>
  <sheetFormatPr baseColWidth="10" defaultColWidth="11.42578125" defaultRowHeight="15" x14ac:dyDescent="0.25"/>
  <cols>
    <col min="1" max="1" width="11.42578125" style="6"/>
    <col min="2" max="2" width="11.85546875" style="155" customWidth="1"/>
    <col min="3" max="10" width="5" style="190" customWidth="1"/>
    <col min="11" max="22" width="3.5703125" style="143" customWidth="1"/>
    <col min="23" max="42" width="3.5703125" style="6" customWidth="1"/>
    <col min="43" max="16384" width="11.42578125" style="6"/>
  </cols>
  <sheetData>
    <row r="2" spans="2:42" x14ac:dyDescent="0.25">
      <c r="B2" s="155" t="s">
        <v>337</v>
      </c>
    </row>
    <row r="3" spans="2:42" ht="15.75" thickBot="1" x14ac:dyDescent="0.3"/>
    <row r="4" spans="2:42" x14ac:dyDescent="0.25">
      <c r="B4" s="145" t="s">
        <v>338</v>
      </c>
      <c r="C4" s="145">
        <v>2007</v>
      </c>
      <c r="D4" s="146">
        <v>2008</v>
      </c>
      <c r="E4" s="144">
        <v>2009</v>
      </c>
      <c r="F4" s="145">
        <v>2010</v>
      </c>
      <c r="G4" s="146">
        <v>2011</v>
      </c>
      <c r="H4" s="144">
        <v>2012</v>
      </c>
      <c r="I4" s="145">
        <v>2013</v>
      </c>
      <c r="J4" s="146">
        <v>2014</v>
      </c>
      <c r="K4" s="983">
        <v>2015</v>
      </c>
      <c r="L4" s="984"/>
      <c r="M4" s="983">
        <v>2016</v>
      </c>
      <c r="N4" s="984"/>
      <c r="O4" s="983">
        <v>2017</v>
      </c>
      <c r="P4" s="984"/>
      <c r="Q4" s="983">
        <v>2018</v>
      </c>
      <c r="R4" s="984"/>
      <c r="S4" s="983">
        <v>2019</v>
      </c>
      <c r="T4" s="984"/>
      <c r="U4" s="983">
        <v>2020</v>
      </c>
      <c r="V4" s="984"/>
      <c r="W4" s="983">
        <v>2021</v>
      </c>
      <c r="X4" s="984"/>
      <c r="Y4" s="983">
        <v>2022</v>
      </c>
      <c r="Z4" s="984"/>
      <c r="AA4" s="983">
        <v>2023</v>
      </c>
      <c r="AB4" s="984"/>
      <c r="AC4" s="983">
        <v>2024</v>
      </c>
      <c r="AD4" s="984"/>
      <c r="AE4" s="983">
        <v>2025</v>
      </c>
      <c r="AF4" s="984"/>
      <c r="AG4" s="983">
        <v>2026</v>
      </c>
      <c r="AH4" s="984"/>
      <c r="AI4" s="983">
        <v>2027</v>
      </c>
      <c r="AJ4" s="984"/>
      <c r="AK4" s="983">
        <v>2028</v>
      </c>
      <c r="AL4" s="984"/>
      <c r="AM4" s="983">
        <v>2029</v>
      </c>
      <c r="AN4" s="984"/>
      <c r="AO4" s="983">
        <v>2030</v>
      </c>
      <c r="AP4" s="984"/>
    </row>
    <row r="5" spans="2:42" x14ac:dyDescent="0.25">
      <c r="B5" s="370" t="s">
        <v>122</v>
      </c>
      <c r="C5" s="620"/>
      <c r="D5" s="620"/>
      <c r="E5" s="620"/>
      <c r="F5" s="620"/>
      <c r="G5" s="620"/>
      <c r="H5" s="621"/>
      <c r="I5" s="622"/>
      <c r="J5" s="623"/>
      <c r="K5" s="150"/>
      <c r="L5" s="151"/>
      <c r="M5" s="150"/>
      <c r="N5" s="151"/>
      <c r="O5" s="150"/>
      <c r="P5" s="151"/>
      <c r="Q5" s="150"/>
      <c r="R5" s="151"/>
      <c r="S5" s="150"/>
      <c r="T5" s="151"/>
      <c r="U5" s="148"/>
      <c r="V5" s="149"/>
      <c r="W5" s="148"/>
      <c r="X5" s="149"/>
      <c r="Y5" s="148"/>
      <c r="Z5" s="149"/>
      <c r="AA5" s="148"/>
      <c r="AB5" s="149"/>
      <c r="AC5" s="148"/>
      <c r="AD5" s="149"/>
      <c r="AE5" s="148"/>
      <c r="AF5" s="149"/>
      <c r="AG5" s="150"/>
      <c r="AH5" s="151"/>
      <c r="AI5" s="150"/>
      <c r="AJ5" s="151"/>
      <c r="AK5" s="150"/>
      <c r="AL5" s="151"/>
      <c r="AM5" s="150"/>
      <c r="AN5" s="151"/>
      <c r="AO5" s="150"/>
      <c r="AP5" s="151"/>
    </row>
    <row r="6" spans="2:42" x14ac:dyDescent="0.25">
      <c r="B6" s="370" t="s">
        <v>123</v>
      </c>
      <c r="C6" s="620"/>
      <c r="D6" s="620"/>
      <c r="E6" s="620"/>
      <c r="F6" s="620"/>
      <c r="G6" s="620"/>
      <c r="H6" s="621"/>
      <c r="I6" s="622"/>
      <c r="J6" s="151"/>
      <c r="K6" s="150"/>
      <c r="L6" s="151"/>
      <c r="M6" s="150"/>
      <c r="N6" s="151"/>
      <c r="O6" s="150"/>
      <c r="P6" s="151"/>
      <c r="Q6" s="150"/>
      <c r="R6" s="151"/>
      <c r="S6" s="150"/>
      <c r="T6" s="151"/>
      <c r="U6" s="148"/>
      <c r="V6" s="149"/>
      <c r="W6" s="148"/>
      <c r="X6" s="149"/>
      <c r="Y6" s="148"/>
      <c r="Z6" s="149"/>
      <c r="AA6" s="148"/>
      <c r="AB6" s="149"/>
      <c r="AC6" s="148"/>
      <c r="AD6" s="149"/>
      <c r="AE6" s="148"/>
      <c r="AF6" s="149"/>
      <c r="AG6" s="148"/>
      <c r="AH6" s="149"/>
      <c r="AI6" s="148"/>
      <c r="AJ6" s="149"/>
      <c r="AK6" s="148"/>
      <c r="AL6" s="149"/>
      <c r="AM6" s="148"/>
      <c r="AN6" s="149"/>
      <c r="AO6" s="148"/>
      <c r="AP6" s="149"/>
    </row>
    <row r="7" spans="2:42" x14ac:dyDescent="0.25">
      <c r="B7" s="370" t="s">
        <v>78</v>
      </c>
      <c r="C7" s="622"/>
      <c r="D7" s="622"/>
      <c r="E7" s="622"/>
      <c r="F7" s="622"/>
      <c r="G7" s="622"/>
      <c r="H7" s="622"/>
      <c r="I7" s="622"/>
      <c r="J7" s="622"/>
      <c r="K7" s="150"/>
      <c r="L7" s="151"/>
      <c r="M7" s="150"/>
      <c r="N7" s="151"/>
      <c r="O7" s="150"/>
      <c r="P7" s="151"/>
      <c r="Q7" s="150"/>
      <c r="R7" s="151"/>
      <c r="S7" s="150"/>
      <c r="T7" s="151"/>
      <c r="U7" s="148"/>
      <c r="V7" s="149"/>
      <c r="W7" s="148"/>
      <c r="X7" s="149"/>
      <c r="Y7" s="148"/>
      <c r="Z7" s="149"/>
      <c r="AA7" s="148"/>
      <c r="AB7" s="149"/>
      <c r="AC7" s="148"/>
      <c r="AD7" s="149"/>
      <c r="AE7" s="148"/>
      <c r="AF7" s="149"/>
      <c r="AG7" s="148"/>
      <c r="AH7" s="149"/>
      <c r="AI7" s="148"/>
      <c r="AJ7" s="149"/>
      <c r="AK7" s="148"/>
      <c r="AL7" s="149"/>
      <c r="AM7" s="148"/>
      <c r="AN7" s="149"/>
      <c r="AO7" s="148"/>
      <c r="AP7" s="149"/>
    </row>
    <row r="8" spans="2:42" x14ac:dyDescent="0.25">
      <c r="B8" s="370" t="s">
        <v>126</v>
      </c>
      <c r="C8" s="622"/>
      <c r="D8" s="622"/>
      <c r="E8" s="622"/>
      <c r="F8" s="622"/>
      <c r="G8" s="622"/>
      <c r="H8" s="622"/>
      <c r="I8" s="622"/>
      <c r="J8" s="622"/>
      <c r="K8" s="150"/>
      <c r="L8" s="151"/>
      <c r="M8" s="150"/>
      <c r="N8" s="151"/>
      <c r="O8" s="150"/>
      <c r="P8" s="151"/>
      <c r="Q8" s="150"/>
      <c r="R8" s="151"/>
      <c r="S8" s="150"/>
      <c r="T8" s="151"/>
      <c r="U8" s="148"/>
      <c r="V8" s="149"/>
      <c r="W8" s="148"/>
      <c r="X8" s="149"/>
      <c r="Y8" s="148"/>
      <c r="Z8" s="149"/>
      <c r="AA8" s="150"/>
      <c r="AB8" s="151"/>
      <c r="AC8" s="150"/>
      <c r="AD8" s="151"/>
      <c r="AE8" s="150"/>
      <c r="AF8" s="151"/>
      <c r="AG8" s="150"/>
      <c r="AH8" s="151"/>
      <c r="AI8" s="150"/>
      <c r="AJ8" s="151"/>
      <c r="AK8" s="150"/>
      <c r="AL8" s="151"/>
      <c r="AM8" s="150"/>
      <c r="AN8" s="151"/>
      <c r="AO8" s="150"/>
      <c r="AP8" s="151"/>
    </row>
    <row r="9" spans="2:42" x14ac:dyDescent="0.25">
      <c r="B9" s="370" t="s">
        <v>132</v>
      </c>
      <c r="C9" s="622"/>
      <c r="D9" s="622"/>
      <c r="E9" s="622"/>
      <c r="F9" s="622"/>
      <c r="G9" s="622"/>
      <c r="H9" s="622"/>
      <c r="I9" s="622"/>
      <c r="J9" s="622"/>
      <c r="K9" s="150"/>
      <c r="L9" s="151"/>
      <c r="M9" s="150"/>
      <c r="N9" s="151"/>
      <c r="O9" s="150"/>
      <c r="P9" s="151"/>
      <c r="Q9" s="150"/>
      <c r="R9" s="151"/>
      <c r="S9" s="150"/>
      <c r="T9" s="151"/>
      <c r="U9" s="148"/>
      <c r="V9" s="149"/>
      <c r="W9" s="148"/>
      <c r="X9" s="149"/>
      <c r="Y9" s="148"/>
      <c r="Z9" s="149"/>
      <c r="AA9" s="150"/>
      <c r="AB9" s="151"/>
      <c r="AC9" s="150"/>
      <c r="AD9" s="151"/>
      <c r="AE9" s="150"/>
      <c r="AF9" s="151"/>
      <c r="AG9" s="150"/>
      <c r="AH9" s="151"/>
      <c r="AI9" s="150"/>
      <c r="AJ9" s="151"/>
      <c r="AK9" s="150"/>
      <c r="AL9" s="151"/>
      <c r="AM9" s="150"/>
      <c r="AN9" s="151"/>
      <c r="AO9" s="150"/>
      <c r="AP9" s="151"/>
    </row>
    <row r="10" spans="2:42" x14ac:dyDescent="0.25">
      <c r="B10" s="370" t="s">
        <v>131</v>
      </c>
      <c r="C10" s="622"/>
      <c r="D10" s="622"/>
      <c r="E10" s="622"/>
      <c r="F10" s="622"/>
      <c r="G10" s="622"/>
      <c r="H10" s="622"/>
      <c r="I10" s="622"/>
      <c r="J10" s="622"/>
      <c r="K10" s="150"/>
      <c r="L10" s="151"/>
      <c r="M10" s="150"/>
      <c r="N10" s="151"/>
      <c r="O10" s="150"/>
      <c r="P10" s="149"/>
      <c r="Q10" s="148"/>
      <c r="R10" s="151"/>
      <c r="S10" s="150"/>
      <c r="T10" s="151"/>
      <c r="U10" s="150"/>
      <c r="V10" s="151"/>
      <c r="W10" s="150"/>
      <c r="X10" s="151"/>
      <c r="Y10" s="150"/>
      <c r="Z10" s="151"/>
      <c r="AA10" s="150"/>
      <c r="AB10" s="151"/>
      <c r="AC10" s="150"/>
      <c r="AD10" s="151"/>
      <c r="AE10" s="150"/>
      <c r="AF10" s="151"/>
      <c r="AG10" s="150"/>
      <c r="AH10" s="151"/>
      <c r="AI10" s="150"/>
      <c r="AJ10" s="151"/>
      <c r="AK10" s="150"/>
      <c r="AL10" s="151"/>
      <c r="AM10" s="150"/>
      <c r="AN10" s="151"/>
      <c r="AO10" s="150"/>
      <c r="AP10" s="151"/>
    </row>
    <row r="11" spans="2:42" x14ac:dyDescent="0.25">
      <c r="B11" s="370" t="s">
        <v>125</v>
      </c>
      <c r="C11" s="622"/>
      <c r="D11" s="622"/>
      <c r="E11" s="622"/>
      <c r="F11" s="622"/>
      <c r="G11" s="622"/>
      <c r="H11" s="622"/>
      <c r="I11" s="622"/>
      <c r="J11" s="622"/>
      <c r="K11" s="150"/>
      <c r="L11" s="151"/>
      <c r="M11" s="148"/>
      <c r="N11" s="149"/>
      <c r="O11" s="148"/>
      <c r="P11" s="149"/>
      <c r="Q11" s="148"/>
      <c r="R11" s="149"/>
      <c r="S11" s="148"/>
      <c r="T11" s="149"/>
      <c r="U11" s="148"/>
      <c r="V11" s="149"/>
      <c r="W11" s="148"/>
      <c r="X11" s="149"/>
      <c r="Y11" s="148"/>
      <c r="Z11" s="149"/>
      <c r="AA11" s="148"/>
      <c r="AB11" s="149"/>
      <c r="AC11" s="148"/>
      <c r="AD11" s="149"/>
      <c r="AE11" s="148"/>
      <c r="AF11" s="149"/>
      <c r="AG11" s="150"/>
      <c r="AH11" s="151"/>
      <c r="AI11" s="150"/>
      <c r="AJ11" s="151"/>
      <c r="AK11" s="150"/>
      <c r="AL11" s="151"/>
      <c r="AM11" s="150"/>
      <c r="AN11" s="151"/>
      <c r="AO11" s="150"/>
      <c r="AP11" s="151"/>
    </row>
    <row r="12" spans="2:42" x14ac:dyDescent="0.25">
      <c r="B12" s="370" t="s">
        <v>134</v>
      </c>
      <c r="C12" s="622"/>
      <c r="D12" s="622"/>
      <c r="E12" s="622"/>
      <c r="F12" s="622"/>
      <c r="G12" s="622"/>
      <c r="H12" s="622"/>
      <c r="I12" s="622"/>
      <c r="J12" s="622"/>
      <c r="K12" s="150"/>
      <c r="L12" s="151"/>
      <c r="M12" s="150"/>
      <c r="N12" s="151"/>
      <c r="O12" s="150"/>
      <c r="P12" s="151"/>
      <c r="Q12" s="150"/>
      <c r="R12" s="151"/>
      <c r="S12" s="150"/>
      <c r="T12" s="149"/>
      <c r="U12" s="148"/>
      <c r="V12" s="149"/>
      <c r="W12" s="150"/>
      <c r="X12" s="151"/>
      <c r="Y12" s="150"/>
      <c r="Z12" s="151"/>
      <c r="AA12" s="150"/>
      <c r="AB12" s="151"/>
      <c r="AC12" s="150"/>
      <c r="AD12" s="151"/>
      <c r="AE12" s="150"/>
      <c r="AF12" s="151"/>
      <c r="AG12" s="150"/>
      <c r="AH12" s="151"/>
      <c r="AI12" s="150"/>
      <c r="AJ12" s="151"/>
      <c r="AK12" s="150"/>
      <c r="AL12" s="151"/>
      <c r="AM12" s="150"/>
      <c r="AN12" s="151"/>
      <c r="AO12" s="150"/>
      <c r="AP12" s="151"/>
    </row>
    <row r="13" spans="2:42" x14ac:dyDescent="0.25">
      <c r="B13" s="370" t="s">
        <v>135</v>
      </c>
      <c r="C13" s="622"/>
      <c r="D13" s="622"/>
      <c r="E13" s="622"/>
      <c r="F13" s="622"/>
      <c r="G13" s="622"/>
      <c r="H13" s="622"/>
      <c r="I13" s="622"/>
      <c r="J13" s="622"/>
      <c r="K13" s="150"/>
      <c r="L13" s="151"/>
      <c r="M13" s="150"/>
      <c r="N13" s="151"/>
      <c r="O13" s="150"/>
      <c r="P13" s="151"/>
      <c r="Q13" s="150"/>
      <c r="R13" s="151"/>
      <c r="S13" s="150"/>
      <c r="T13" s="151"/>
      <c r="U13" s="148"/>
      <c r="V13" s="149"/>
      <c r="W13" s="148"/>
      <c r="X13" s="149"/>
      <c r="Y13" s="148"/>
      <c r="Z13" s="149"/>
      <c r="AA13" s="150"/>
      <c r="AB13" s="151"/>
      <c r="AC13" s="150"/>
      <c r="AD13" s="151"/>
      <c r="AE13" s="150"/>
      <c r="AF13" s="151"/>
      <c r="AG13" s="150"/>
      <c r="AH13" s="151"/>
      <c r="AI13" s="150"/>
      <c r="AJ13" s="151"/>
      <c r="AK13" s="150"/>
      <c r="AL13" s="151"/>
      <c r="AM13" s="150"/>
      <c r="AN13" s="151"/>
      <c r="AO13" s="150"/>
      <c r="AP13" s="151"/>
    </row>
    <row r="14" spans="2:42" x14ac:dyDescent="0.25">
      <c r="B14" s="370" t="s">
        <v>244</v>
      </c>
      <c r="C14" s="622"/>
      <c r="D14" s="622"/>
      <c r="E14" s="622"/>
      <c r="F14" s="622"/>
      <c r="G14" s="622"/>
      <c r="H14" s="622"/>
      <c r="I14" s="622"/>
      <c r="J14" s="622"/>
      <c r="K14" s="150"/>
      <c r="L14" s="151"/>
      <c r="M14" s="150"/>
      <c r="N14" s="151"/>
      <c r="O14" s="150"/>
      <c r="P14" s="151"/>
      <c r="Q14" s="150"/>
      <c r="R14" s="151"/>
      <c r="S14" s="150"/>
      <c r="T14" s="151"/>
      <c r="U14" s="148"/>
      <c r="V14" s="149"/>
      <c r="W14" s="148"/>
      <c r="X14" s="149"/>
      <c r="Y14" s="148"/>
      <c r="Z14" s="149"/>
      <c r="AA14" s="148"/>
      <c r="AB14" s="149"/>
      <c r="AC14" s="148"/>
      <c r="AD14" s="149"/>
      <c r="AE14" s="148"/>
      <c r="AF14" s="149"/>
      <c r="AG14" s="148"/>
      <c r="AH14" s="149"/>
      <c r="AI14" s="148"/>
      <c r="AJ14" s="149"/>
      <c r="AK14" s="148"/>
      <c r="AL14" s="149"/>
      <c r="AM14" s="148"/>
      <c r="AN14" s="149"/>
      <c r="AO14" s="148"/>
      <c r="AP14" s="149"/>
    </row>
    <row r="15" spans="2:42" x14ac:dyDescent="0.25">
      <c r="B15" s="370" t="s">
        <v>245</v>
      </c>
      <c r="C15" s="622"/>
      <c r="D15" s="622"/>
      <c r="E15" s="622"/>
      <c r="F15" s="622"/>
      <c r="G15" s="622"/>
      <c r="H15" s="622"/>
      <c r="I15" s="622"/>
      <c r="J15" s="622"/>
      <c r="K15" s="150"/>
      <c r="L15" s="151"/>
      <c r="M15" s="150"/>
      <c r="N15" s="151"/>
      <c r="O15" s="150"/>
      <c r="P15" s="151"/>
      <c r="Q15" s="150"/>
      <c r="R15" s="151"/>
      <c r="S15" s="150"/>
      <c r="T15" s="151"/>
      <c r="U15" s="148"/>
      <c r="V15" s="149"/>
      <c r="W15" s="148"/>
      <c r="X15" s="149"/>
      <c r="Y15" s="148"/>
      <c r="Z15" s="149"/>
      <c r="AA15" s="150"/>
      <c r="AB15" s="151"/>
      <c r="AC15" s="150"/>
      <c r="AD15" s="151"/>
      <c r="AE15" s="150"/>
      <c r="AF15" s="151"/>
      <c r="AG15" s="150"/>
      <c r="AH15" s="151"/>
      <c r="AI15" s="150"/>
      <c r="AJ15" s="151"/>
      <c r="AK15" s="150"/>
      <c r="AL15" s="151"/>
      <c r="AM15" s="150"/>
      <c r="AN15" s="151"/>
      <c r="AO15" s="150"/>
      <c r="AP15" s="151"/>
    </row>
    <row r="16" spans="2:42" x14ac:dyDescent="0.25">
      <c r="B16" s="370" t="s">
        <v>770</v>
      </c>
      <c r="C16" s="622"/>
      <c r="D16" s="622"/>
      <c r="E16" s="147"/>
      <c r="F16" s="147"/>
      <c r="G16" s="147"/>
      <c r="H16" s="147"/>
      <c r="I16" s="147"/>
      <c r="J16" s="147"/>
      <c r="K16" s="148"/>
      <c r="L16" s="149"/>
      <c r="M16" s="148"/>
      <c r="N16" s="149"/>
      <c r="O16" s="148"/>
      <c r="P16" s="149"/>
      <c r="Q16" s="148"/>
      <c r="R16" s="149"/>
      <c r="S16" s="148"/>
      <c r="T16" s="149"/>
      <c r="U16" s="148"/>
      <c r="V16" s="149"/>
      <c r="W16" s="148"/>
      <c r="X16" s="149"/>
      <c r="Y16" s="148"/>
      <c r="Z16" s="149"/>
      <c r="AA16" s="148"/>
      <c r="AB16" s="149"/>
      <c r="AC16" s="148"/>
      <c r="AD16" s="149"/>
      <c r="AE16" s="148"/>
      <c r="AF16" s="149"/>
      <c r="AG16" s="148"/>
      <c r="AH16" s="149"/>
      <c r="AI16" s="148"/>
      <c r="AJ16" s="149"/>
      <c r="AK16" s="148"/>
      <c r="AL16" s="149"/>
      <c r="AM16" s="148"/>
      <c r="AN16" s="149"/>
      <c r="AO16" s="148"/>
      <c r="AP16" s="149"/>
    </row>
    <row r="17" spans="1:42" x14ac:dyDescent="0.25">
      <c r="B17" s="370" t="s">
        <v>771</v>
      </c>
      <c r="C17" s="622"/>
      <c r="D17" s="622"/>
      <c r="E17" s="622"/>
      <c r="F17" s="622"/>
      <c r="G17" s="622"/>
      <c r="H17" s="622"/>
      <c r="I17" s="622"/>
      <c r="J17" s="622"/>
      <c r="K17" s="150"/>
      <c r="L17" s="151"/>
      <c r="M17" s="150"/>
      <c r="N17" s="151"/>
      <c r="O17" s="150"/>
      <c r="P17" s="151"/>
      <c r="Q17" s="150"/>
      <c r="R17" s="151"/>
      <c r="S17" s="148"/>
      <c r="T17" s="149"/>
      <c r="U17" s="148"/>
      <c r="V17" s="149"/>
      <c r="W17" s="150"/>
      <c r="X17" s="151"/>
      <c r="Y17" s="150"/>
      <c r="Z17" s="151"/>
      <c r="AA17" s="150"/>
      <c r="AB17" s="151"/>
      <c r="AC17" s="150"/>
      <c r="AD17" s="151"/>
      <c r="AE17" s="150"/>
      <c r="AF17" s="151"/>
      <c r="AG17" s="150"/>
      <c r="AH17" s="151"/>
      <c r="AI17" s="150"/>
      <c r="AJ17" s="151"/>
      <c r="AK17" s="150"/>
      <c r="AL17" s="151"/>
      <c r="AM17" s="150"/>
      <c r="AN17" s="151"/>
      <c r="AO17" s="150"/>
      <c r="AP17" s="151"/>
    </row>
    <row r="18" spans="1:42" x14ac:dyDescent="0.25">
      <c r="B18" s="370" t="s">
        <v>772</v>
      </c>
      <c r="C18" s="622"/>
      <c r="D18" s="622"/>
      <c r="E18" s="622"/>
      <c r="F18" s="622"/>
      <c r="G18" s="622"/>
      <c r="H18" s="622"/>
      <c r="I18" s="622"/>
      <c r="J18" s="622"/>
      <c r="K18" s="152"/>
      <c r="L18" s="151"/>
      <c r="M18" s="150"/>
      <c r="N18" s="151"/>
      <c r="O18" s="150"/>
      <c r="P18" s="151"/>
      <c r="Q18" s="150"/>
      <c r="R18" s="151"/>
      <c r="S18" s="150"/>
      <c r="T18" s="151"/>
      <c r="U18" s="148"/>
      <c r="V18" s="149"/>
      <c r="W18" s="148"/>
      <c r="X18" s="149"/>
      <c r="Y18" s="148"/>
      <c r="Z18" s="149"/>
      <c r="AA18" s="148"/>
      <c r="AB18" s="149"/>
      <c r="AC18" s="148"/>
      <c r="AD18" s="149"/>
      <c r="AE18" s="148"/>
      <c r="AF18" s="149"/>
      <c r="AG18" s="148"/>
      <c r="AH18" s="149"/>
      <c r="AI18" s="148"/>
      <c r="AJ18" s="149"/>
      <c r="AK18" s="148"/>
      <c r="AL18" s="149"/>
      <c r="AM18" s="148"/>
      <c r="AN18" s="149"/>
      <c r="AO18" s="148"/>
      <c r="AP18" s="149"/>
    </row>
    <row r="19" spans="1:42" x14ac:dyDescent="0.25">
      <c r="B19" s="370" t="s">
        <v>773</v>
      </c>
      <c r="C19" s="622"/>
      <c r="D19" s="622"/>
      <c r="E19" s="622"/>
      <c r="F19" s="622"/>
      <c r="G19" s="622"/>
      <c r="H19" s="622"/>
      <c r="I19" s="622"/>
      <c r="J19" s="622"/>
      <c r="K19" s="152"/>
      <c r="L19" s="151"/>
      <c r="M19" s="150"/>
      <c r="N19" s="151"/>
      <c r="O19" s="150"/>
      <c r="P19" s="151"/>
      <c r="Q19" s="150"/>
      <c r="R19" s="151"/>
      <c r="S19" s="150"/>
      <c r="T19" s="151"/>
      <c r="U19" s="148"/>
      <c r="V19" s="149"/>
      <c r="W19" s="148"/>
      <c r="X19" s="149"/>
      <c r="Y19" s="148"/>
      <c r="Z19" s="149"/>
      <c r="AA19" s="148"/>
      <c r="AB19" s="149"/>
      <c r="AC19" s="148"/>
      <c r="AD19" s="149"/>
      <c r="AE19" s="148"/>
      <c r="AF19" s="149"/>
      <c r="AG19" s="148"/>
      <c r="AH19" s="149"/>
      <c r="AI19" s="148"/>
      <c r="AJ19" s="149"/>
      <c r="AK19" s="148"/>
      <c r="AL19" s="149"/>
      <c r="AM19" s="148"/>
      <c r="AN19" s="149"/>
      <c r="AO19" s="148"/>
      <c r="AP19" s="149"/>
    </row>
    <row r="20" spans="1:42" x14ac:dyDescent="0.25">
      <c r="B20" s="370" t="s">
        <v>774</v>
      </c>
      <c r="C20" s="622"/>
      <c r="D20" s="622"/>
      <c r="E20" s="622"/>
      <c r="F20" s="622"/>
      <c r="G20" s="622"/>
      <c r="H20" s="622"/>
      <c r="I20" s="622"/>
      <c r="J20" s="622"/>
      <c r="K20" s="152"/>
      <c r="L20" s="151"/>
      <c r="M20" s="150"/>
      <c r="N20" s="151"/>
      <c r="O20" s="150"/>
      <c r="P20" s="151"/>
      <c r="Q20" s="150"/>
      <c r="R20" s="151"/>
      <c r="S20" s="150"/>
      <c r="T20" s="151"/>
      <c r="U20" s="150"/>
      <c r="V20" s="151"/>
      <c r="W20" s="150"/>
      <c r="X20" s="151"/>
      <c r="Y20" s="148"/>
      <c r="Z20" s="149"/>
      <c r="AA20" s="150"/>
      <c r="AB20" s="151"/>
      <c r="AC20" s="150"/>
      <c r="AD20" s="151"/>
      <c r="AE20" s="150"/>
      <c r="AF20" s="151"/>
      <c r="AG20" s="150"/>
      <c r="AH20" s="151"/>
      <c r="AI20" s="150"/>
      <c r="AJ20" s="151"/>
      <c r="AK20" s="150"/>
      <c r="AL20" s="151"/>
      <c r="AM20" s="150"/>
      <c r="AN20" s="151"/>
      <c r="AO20" s="150"/>
      <c r="AP20" s="151"/>
    </row>
    <row r="21" spans="1:42" x14ac:dyDescent="0.25">
      <c r="B21" s="370" t="s">
        <v>775</v>
      </c>
      <c r="C21" s="622"/>
      <c r="D21" s="622"/>
      <c r="E21" s="622"/>
      <c r="F21" s="622"/>
      <c r="G21" s="622"/>
      <c r="H21" s="622"/>
      <c r="I21" s="622"/>
      <c r="J21" s="622"/>
      <c r="K21" s="152"/>
      <c r="L21" s="151"/>
      <c r="M21" s="150"/>
      <c r="N21" s="151"/>
      <c r="O21" s="150"/>
      <c r="P21" s="151"/>
      <c r="Q21" s="150"/>
      <c r="R21" s="151"/>
      <c r="S21" s="150"/>
      <c r="T21" s="151"/>
      <c r="U21" s="150"/>
      <c r="V21" s="151"/>
      <c r="W21" s="150"/>
      <c r="X21" s="151"/>
      <c r="Y21" s="150"/>
      <c r="Z21" s="151"/>
      <c r="AA21" s="150"/>
      <c r="AB21" s="151"/>
      <c r="AC21" s="150"/>
      <c r="AD21" s="151"/>
      <c r="AE21" s="148"/>
      <c r="AF21" s="149"/>
      <c r="AG21" s="150"/>
      <c r="AH21" s="151"/>
      <c r="AI21" s="150"/>
      <c r="AJ21" s="151"/>
      <c r="AK21" s="150"/>
      <c r="AL21" s="151"/>
      <c r="AM21" s="150"/>
      <c r="AN21" s="151"/>
      <c r="AO21" s="150"/>
      <c r="AP21" s="151"/>
    </row>
    <row r="22" spans="1:42" x14ac:dyDescent="0.25">
      <c r="B22" s="370" t="s">
        <v>776</v>
      </c>
      <c r="C22" s="622"/>
      <c r="D22" s="622"/>
      <c r="E22" s="622"/>
      <c r="F22" s="622"/>
      <c r="G22" s="622"/>
      <c r="H22" s="622"/>
      <c r="I22" s="622"/>
      <c r="J22" s="622"/>
      <c r="K22" s="152"/>
      <c r="L22" s="151"/>
      <c r="M22" s="150"/>
      <c r="N22" s="151"/>
      <c r="O22" s="150"/>
      <c r="P22" s="151"/>
      <c r="Q22" s="150"/>
      <c r="R22" s="151"/>
      <c r="S22" s="150"/>
      <c r="T22" s="151"/>
      <c r="U22" s="148"/>
      <c r="V22" s="149"/>
      <c r="W22" s="148"/>
      <c r="X22" s="149"/>
      <c r="Y22" s="148"/>
      <c r="Z22" s="149"/>
      <c r="AA22" s="148"/>
      <c r="AB22" s="149"/>
      <c r="AC22" s="148"/>
      <c r="AD22" s="149"/>
      <c r="AE22" s="148"/>
      <c r="AF22" s="149"/>
      <c r="AG22" s="148"/>
      <c r="AH22" s="149"/>
      <c r="AI22" s="148"/>
      <c r="AJ22" s="149"/>
      <c r="AK22" s="148"/>
      <c r="AL22" s="149"/>
      <c r="AM22" s="148"/>
      <c r="AN22" s="149"/>
      <c r="AO22" s="148"/>
      <c r="AP22" s="149"/>
    </row>
    <row r="23" spans="1:42" x14ac:dyDescent="0.25">
      <c r="B23" s="370" t="s">
        <v>777</v>
      </c>
      <c r="C23" s="622"/>
      <c r="D23" s="622"/>
      <c r="E23" s="622"/>
      <c r="F23" s="622"/>
      <c r="G23" s="622"/>
      <c r="H23" s="622"/>
      <c r="I23" s="622"/>
      <c r="J23" s="622"/>
      <c r="K23" s="152"/>
      <c r="L23" s="151"/>
      <c r="M23" s="150"/>
      <c r="N23" s="151"/>
      <c r="O23" s="148"/>
      <c r="P23" s="149"/>
      <c r="Q23" s="148"/>
      <c r="R23" s="149"/>
      <c r="S23" s="148"/>
      <c r="T23" s="149"/>
      <c r="U23" s="148"/>
      <c r="V23" s="149"/>
      <c r="W23" s="148"/>
      <c r="X23" s="149"/>
      <c r="Y23" s="148"/>
      <c r="Z23" s="149"/>
      <c r="AA23" s="148"/>
      <c r="AB23" s="149"/>
      <c r="AC23" s="148"/>
      <c r="AD23" s="149"/>
      <c r="AE23" s="148"/>
      <c r="AF23" s="149"/>
      <c r="AG23" s="148"/>
      <c r="AH23" s="149"/>
      <c r="AI23" s="148"/>
      <c r="AJ23" s="149"/>
      <c r="AK23" s="148"/>
      <c r="AL23" s="149"/>
      <c r="AM23" s="148"/>
      <c r="AN23" s="149"/>
      <c r="AO23" s="148"/>
      <c r="AP23" s="149"/>
    </row>
    <row r="24" spans="1:42" x14ac:dyDescent="0.25">
      <c r="B24" s="370" t="s">
        <v>778</v>
      </c>
      <c r="C24" s="622"/>
      <c r="D24" s="622"/>
      <c r="E24" s="622"/>
      <c r="F24" s="622"/>
      <c r="G24" s="622"/>
      <c r="H24" s="622"/>
      <c r="I24" s="622"/>
      <c r="J24" s="622"/>
      <c r="K24" s="152"/>
      <c r="L24" s="151"/>
      <c r="M24" s="150"/>
      <c r="N24" s="151"/>
      <c r="O24" s="150"/>
      <c r="P24" s="151"/>
      <c r="Q24" s="150"/>
      <c r="R24" s="151"/>
      <c r="S24" s="150"/>
      <c r="T24" s="151"/>
      <c r="U24" s="148"/>
      <c r="V24" s="149"/>
      <c r="W24" s="148"/>
      <c r="X24" s="149"/>
      <c r="Y24" s="148"/>
      <c r="Z24" s="149"/>
      <c r="AA24" s="148"/>
      <c r="AB24" s="149"/>
      <c r="AC24" s="148"/>
      <c r="AD24" s="149"/>
      <c r="AE24" s="148"/>
      <c r="AF24" s="149"/>
      <c r="AG24" s="148"/>
      <c r="AH24" s="149"/>
      <c r="AI24" s="148"/>
      <c r="AJ24" s="149"/>
      <c r="AK24" s="148"/>
      <c r="AL24" s="149"/>
      <c r="AM24" s="148"/>
      <c r="AN24" s="149"/>
      <c r="AO24" s="148"/>
      <c r="AP24" s="149"/>
    </row>
    <row r="25" spans="1:42" x14ac:dyDescent="0.25">
      <c r="B25" s="370" t="s">
        <v>867</v>
      </c>
      <c r="C25" s="622"/>
      <c r="D25" s="622"/>
      <c r="E25" s="622"/>
      <c r="F25" s="622"/>
      <c r="G25" s="622"/>
      <c r="H25" s="622"/>
      <c r="I25" s="622"/>
      <c r="J25" s="622"/>
      <c r="K25" s="152"/>
      <c r="L25" s="151"/>
      <c r="M25" s="150"/>
      <c r="N25" s="151"/>
      <c r="O25" s="150"/>
      <c r="P25" s="151"/>
      <c r="Q25" s="150"/>
      <c r="R25" s="151"/>
      <c r="S25" s="150"/>
      <c r="T25" s="151"/>
      <c r="U25" s="148"/>
      <c r="V25" s="149"/>
      <c r="W25" s="148"/>
      <c r="X25" s="149"/>
      <c r="Y25" s="148"/>
      <c r="Z25" s="149"/>
      <c r="AA25" s="148"/>
      <c r="AB25" s="149"/>
      <c r="AC25" s="148"/>
      <c r="AD25" s="149"/>
      <c r="AE25" s="148"/>
      <c r="AF25" s="149"/>
      <c r="AG25" s="148"/>
      <c r="AH25" s="149"/>
      <c r="AI25" s="148"/>
      <c r="AJ25" s="149"/>
      <c r="AK25" s="148"/>
      <c r="AL25" s="149"/>
      <c r="AM25" s="148"/>
      <c r="AN25" s="149"/>
      <c r="AO25" s="148"/>
      <c r="AP25" s="149"/>
    </row>
    <row r="26" spans="1:42" x14ac:dyDescent="0.25">
      <c r="B26" s="370" t="s">
        <v>868</v>
      </c>
      <c r="C26" s="622"/>
      <c r="D26" s="622"/>
      <c r="E26" s="622"/>
      <c r="F26" s="622"/>
      <c r="G26" s="622"/>
      <c r="H26" s="622"/>
      <c r="I26" s="622"/>
      <c r="J26" s="622"/>
      <c r="K26" s="152"/>
      <c r="L26" s="151"/>
      <c r="M26" s="150"/>
      <c r="N26" s="151"/>
      <c r="O26" s="150"/>
      <c r="P26" s="151"/>
      <c r="Q26" s="150"/>
      <c r="R26" s="151"/>
      <c r="S26" s="150"/>
      <c r="T26" s="151"/>
      <c r="U26" s="148"/>
      <c r="V26" s="149"/>
      <c r="W26" s="148"/>
      <c r="X26" s="149"/>
      <c r="Y26" s="150"/>
      <c r="Z26" s="151"/>
      <c r="AA26" s="150"/>
      <c r="AB26" s="151"/>
      <c r="AC26" s="150"/>
      <c r="AD26" s="151"/>
      <c r="AE26" s="150"/>
      <c r="AF26" s="151"/>
      <c r="AG26" s="150"/>
      <c r="AH26" s="151"/>
      <c r="AI26" s="150"/>
      <c r="AJ26" s="151"/>
      <c r="AK26" s="150"/>
      <c r="AL26" s="151"/>
      <c r="AM26" s="150"/>
      <c r="AN26" s="151"/>
      <c r="AO26" s="150"/>
      <c r="AP26" s="151"/>
    </row>
    <row r="27" spans="1:42" x14ac:dyDescent="0.25">
      <c r="A27" s="626"/>
      <c r="B27" s="370" t="s">
        <v>869</v>
      </c>
      <c r="C27" s="622"/>
      <c r="D27" s="622"/>
      <c r="E27" s="622"/>
      <c r="F27" s="622"/>
      <c r="G27" s="622"/>
      <c r="H27" s="622"/>
      <c r="I27" s="622"/>
      <c r="J27" s="622"/>
      <c r="K27" s="152"/>
      <c r="L27" s="151"/>
      <c r="M27" s="150"/>
      <c r="N27" s="151"/>
      <c r="O27" s="150"/>
      <c r="P27" s="151"/>
      <c r="Q27" s="150"/>
      <c r="R27" s="151"/>
      <c r="S27" s="150"/>
      <c r="T27" s="151"/>
      <c r="U27" s="150"/>
      <c r="V27" s="151"/>
      <c r="W27" s="150"/>
      <c r="X27" s="151"/>
      <c r="Y27" s="150"/>
      <c r="Z27" s="151"/>
      <c r="AA27" s="150"/>
      <c r="AB27" s="151"/>
      <c r="AC27" s="150"/>
      <c r="AD27" s="151"/>
      <c r="AE27" s="150"/>
      <c r="AF27" s="151"/>
      <c r="AG27" s="150"/>
      <c r="AH27" s="151"/>
      <c r="AI27" s="150"/>
      <c r="AJ27" s="151"/>
      <c r="AK27" s="150"/>
      <c r="AL27" s="151"/>
      <c r="AM27" s="150"/>
      <c r="AN27" s="151"/>
      <c r="AO27" s="150"/>
      <c r="AP27" s="151"/>
    </row>
    <row r="28" spans="1:42" x14ac:dyDescent="0.25">
      <c r="B28" s="370" t="s">
        <v>870</v>
      </c>
      <c r="C28" s="622"/>
      <c r="D28" s="622"/>
      <c r="E28" s="622"/>
      <c r="F28" s="622"/>
      <c r="G28" s="622"/>
      <c r="H28" s="622"/>
      <c r="I28" s="622"/>
      <c r="J28" s="622"/>
      <c r="K28" s="152"/>
      <c r="L28" s="151"/>
      <c r="M28" s="150"/>
      <c r="N28" s="151"/>
      <c r="O28" s="150"/>
      <c r="P28" s="151"/>
      <c r="Q28" s="150"/>
      <c r="R28" s="151"/>
      <c r="S28" s="150"/>
      <c r="T28" s="151"/>
      <c r="U28" s="148"/>
      <c r="V28" s="149"/>
      <c r="W28" s="148"/>
      <c r="X28" s="149"/>
      <c r="Y28" s="148"/>
      <c r="Z28" s="149"/>
      <c r="AA28" s="148"/>
      <c r="AB28" s="149"/>
      <c r="AC28" s="148"/>
      <c r="AD28" s="149"/>
      <c r="AE28" s="148"/>
      <c r="AF28" s="149"/>
      <c r="AG28" s="150"/>
      <c r="AH28" s="151"/>
      <c r="AI28" s="150"/>
      <c r="AJ28" s="151"/>
      <c r="AK28" s="150"/>
      <c r="AL28" s="151"/>
      <c r="AM28" s="150"/>
      <c r="AN28" s="151"/>
      <c r="AO28" s="150"/>
      <c r="AP28" s="151"/>
    </row>
    <row r="29" spans="1:42" x14ac:dyDescent="0.25">
      <c r="B29" s="370" t="s">
        <v>871</v>
      </c>
      <c r="C29" s="622"/>
      <c r="D29" s="622"/>
      <c r="E29" s="622"/>
      <c r="F29" s="622"/>
      <c r="G29" s="622"/>
      <c r="H29" s="622"/>
      <c r="I29" s="622"/>
      <c r="J29" s="622"/>
      <c r="K29" s="152"/>
      <c r="L29" s="151"/>
      <c r="M29" s="150"/>
      <c r="N29" s="151"/>
      <c r="O29" s="150"/>
      <c r="P29" s="151"/>
      <c r="Q29" s="150"/>
      <c r="R29" s="151"/>
      <c r="S29" s="150"/>
      <c r="T29" s="151"/>
      <c r="U29" s="148"/>
      <c r="V29" s="149"/>
      <c r="W29" s="148"/>
      <c r="X29" s="149"/>
      <c r="Y29" s="148"/>
      <c r="Z29" s="149"/>
      <c r="AA29" s="148"/>
      <c r="AB29" s="149"/>
      <c r="AC29" s="148"/>
      <c r="AD29" s="149"/>
      <c r="AE29" s="148"/>
      <c r="AF29" s="149"/>
      <c r="AG29" s="150"/>
      <c r="AH29" s="151"/>
      <c r="AI29" s="150"/>
      <c r="AJ29" s="151"/>
      <c r="AK29" s="150"/>
      <c r="AL29" s="151"/>
      <c r="AM29" s="150"/>
      <c r="AN29" s="151"/>
      <c r="AO29" s="150"/>
      <c r="AP29" s="151"/>
    </row>
    <row r="30" spans="1:42" x14ac:dyDescent="0.25">
      <c r="B30" s="370" t="s">
        <v>987</v>
      </c>
      <c r="C30" s="622"/>
      <c r="D30" s="622"/>
      <c r="E30" s="622"/>
      <c r="F30" s="622"/>
      <c r="G30" s="622"/>
      <c r="H30" s="622"/>
      <c r="I30" s="622"/>
      <c r="J30" s="622"/>
      <c r="K30" s="152"/>
      <c r="L30" s="151"/>
      <c r="M30" s="150"/>
      <c r="N30" s="151"/>
      <c r="O30" s="150"/>
      <c r="P30" s="151"/>
      <c r="Q30" s="150"/>
      <c r="R30" s="151"/>
      <c r="S30" s="150"/>
      <c r="T30" s="149"/>
      <c r="U30" s="148"/>
      <c r="V30" s="149"/>
      <c r="W30" s="150"/>
      <c r="X30" s="151"/>
      <c r="Y30" s="150"/>
      <c r="Z30" s="151"/>
      <c r="AA30" s="150"/>
      <c r="AB30" s="151"/>
      <c r="AC30" s="150"/>
      <c r="AD30" s="151"/>
      <c r="AE30" s="150"/>
      <c r="AF30" s="151"/>
      <c r="AG30" s="150"/>
      <c r="AH30" s="151"/>
      <c r="AI30" s="150"/>
      <c r="AJ30" s="151"/>
      <c r="AK30" s="150"/>
      <c r="AL30" s="151"/>
      <c r="AM30" s="150"/>
      <c r="AN30" s="151"/>
      <c r="AO30" s="150"/>
      <c r="AP30" s="151"/>
    </row>
    <row r="31" spans="1:42" x14ac:dyDescent="0.25">
      <c r="B31" s="370" t="s">
        <v>990</v>
      </c>
      <c r="C31" s="622"/>
      <c r="D31" s="622"/>
      <c r="E31" s="622"/>
      <c r="F31" s="622"/>
      <c r="G31" s="622"/>
      <c r="H31" s="622"/>
      <c r="I31" s="622"/>
      <c r="J31" s="622"/>
      <c r="K31" s="152"/>
      <c r="L31" s="151"/>
      <c r="M31" s="150"/>
      <c r="N31" s="151"/>
      <c r="O31" s="150"/>
      <c r="P31" s="151"/>
      <c r="Q31" s="150"/>
      <c r="R31" s="151"/>
      <c r="S31" s="150"/>
      <c r="T31" s="151"/>
      <c r="U31" s="148"/>
      <c r="V31" s="149"/>
      <c r="W31" s="148"/>
      <c r="X31" s="149"/>
      <c r="Y31" s="148"/>
      <c r="Z31" s="149"/>
      <c r="AA31" s="148"/>
      <c r="AB31" s="149"/>
      <c r="AC31" s="148"/>
      <c r="AD31" s="149"/>
      <c r="AE31" s="148"/>
      <c r="AF31" s="149"/>
      <c r="AG31" s="150"/>
      <c r="AH31" s="151"/>
      <c r="AI31" s="150"/>
      <c r="AJ31" s="151"/>
      <c r="AK31" s="150"/>
      <c r="AL31" s="151"/>
      <c r="AM31" s="150"/>
      <c r="AN31" s="151"/>
      <c r="AO31" s="150"/>
      <c r="AP31" s="151"/>
    </row>
    <row r="32" spans="1:42" x14ac:dyDescent="0.25">
      <c r="B32" s="370" t="s">
        <v>1016</v>
      </c>
      <c r="C32" s="622"/>
      <c r="D32" s="622"/>
      <c r="E32" s="622"/>
      <c r="F32" s="622"/>
      <c r="G32" s="622"/>
      <c r="H32" s="622"/>
      <c r="I32" s="622"/>
      <c r="J32" s="622"/>
      <c r="K32" s="152"/>
      <c r="L32" s="151"/>
      <c r="M32" s="152"/>
      <c r="N32" s="151"/>
      <c r="O32" s="152"/>
      <c r="P32" s="151"/>
      <c r="Q32" s="152"/>
      <c r="R32" s="151"/>
      <c r="S32" s="624"/>
      <c r="T32" s="149"/>
      <c r="U32" s="624"/>
      <c r="V32" s="149"/>
      <c r="W32" s="624"/>
      <c r="X32" s="149"/>
      <c r="Y32" s="624"/>
      <c r="Z32" s="149"/>
      <c r="AA32" s="624"/>
      <c r="AB32" s="149"/>
      <c r="AC32" s="624"/>
      <c r="AD32" s="149"/>
      <c r="AE32" s="624"/>
      <c r="AF32" s="149"/>
      <c r="AG32" s="624"/>
      <c r="AH32" s="149"/>
      <c r="AI32" s="624"/>
      <c r="AJ32" s="149"/>
      <c r="AK32" s="624"/>
      <c r="AL32" s="149"/>
      <c r="AM32" s="624"/>
      <c r="AN32" s="149"/>
      <c r="AO32" s="624"/>
      <c r="AP32" s="149"/>
    </row>
    <row r="33" spans="1:42" x14ac:dyDescent="0.25">
      <c r="B33" s="370" t="s">
        <v>1022</v>
      </c>
      <c r="C33" s="622"/>
      <c r="D33" s="622"/>
      <c r="E33" s="622"/>
      <c r="F33" s="622"/>
      <c r="G33" s="622"/>
      <c r="H33" s="622"/>
      <c r="I33" s="622"/>
      <c r="J33" s="622"/>
      <c r="K33" s="152"/>
      <c r="L33" s="151"/>
      <c r="M33" s="150"/>
      <c r="N33" s="151"/>
      <c r="O33" s="150"/>
      <c r="P33" s="151"/>
      <c r="Q33" s="150"/>
      <c r="R33" s="151"/>
      <c r="S33" s="148"/>
      <c r="T33" s="149"/>
      <c r="U33" s="148"/>
      <c r="V33" s="149"/>
      <c r="W33" s="148"/>
      <c r="X33" s="149"/>
      <c r="Y33" s="148"/>
      <c r="Z33" s="149"/>
      <c r="AA33" s="150"/>
      <c r="AB33" s="151"/>
      <c r="AC33" s="150"/>
      <c r="AD33" s="151"/>
      <c r="AE33" s="150"/>
      <c r="AF33" s="151"/>
      <c r="AG33" s="150"/>
      <c r="AH33" s="151"/>
      <c r="AI33" s="150"/>
      <c r="AJ33" s="151"/>
      <c r="AK33" s="150"/>
      <c r="AL33" s="151"/>
      <c r="AM33" s="150"/>
      <c r="AN33" s="151"/>
      <c r="AO33" s="150"/>
      <c r="AP33" s="151"/>
    </row>
    <row r="34" spans="1:42" x14ac:dyDescent="0.25">
      <c r="B34" s="370" t="s">
        <v>779</v>
      </c>
      <c r="C34" s="622"/>
      <c r="D34" s="622"/>
      <c r="E34" s="622"/>
      <c r="F34" s="622"/>
      <c r="G34" s="622"/>
      <c r="H34" s="622"/>
      <c r="I34" s="622"/>
      <c r="J34" s="622"/>
      <c r="K34" s="152"/>
      <c r="L34" s="151"/>
      <c r="M34" s="150"/>
      <c r="N34" s="151"/>
      <c r="O34" s="150"/>
      <c r="P34" s="151"/>
      <c r="Q34" s="150"/>
      <c r="R34" s="151"/>
      <c r="S34" s="150"/>
      <c r="T34" s="151"/>
      <c r="U34" s="148"/>
      <c r="V34" s="149"/>
      <c r="W34" s="148"/>
      <c r="X34" s="149"/>
      <c r="Y34" s="148"/>
      <c r="Z34" s="149"/>
      <c r="AA34" s="150"/>
      <c r="AB34" s="151"/>
      <c r="AC34" s="150"/>
      <c r="AD34" s="151"/>
      <c r="AE34" s="150"/>
      <c r="AF34" s="151"/>
      <c r="AG34" s="150"/>
      <c r="AH34" s="151"/>
      <c r="AI34" s="150"/>
      <c r="AJ34" s="151"/>
      <c r="AK34" s="150"/>
      <c r="AL34" s="151"/>
      <c r="AM34" s="150"/>
      <c r="AN34" s="151"/>
      <c r="AO34" s="150"/>
      <c r="AP34" s="151"/>
    </row>
    <row r="35" spans="1:42" x14ac:dyDescent="0.25">
      <c r="B35" s="370" t="s">
        <v>780</v>
      </c>
      <c r="C35" s="622"/>
      <c r="D35" s="622"/>
      <c r="E35" s="622"/>
      <c r="F35" s="622"/>
      <c r="G35" s="622"/>
      <c r="H35" s="622"/>
      <c r="I35" s="622"/>
      <c r="J35" s="622"/>
      <c r="K35" s="152"/>
      <c r="L35" s="151"/>
      <c r="M35" s="150"/>
      <c r="N35" s="151"/>
      <c r="O35" s="150"/>
      <c r="P35" s="151"/>
      <c r="Q35" s="150"/>
      <c r="R35" s="151"/>
      <c r="S35" s="150"/>
      <c r="T35" s="151"/>
      <c r="U35" s="148"/>
      <c r="V35" s="149"/>
      <c r="W35" s="148"/>
      <c r="X35" s="149"/>
      <c r="Y35" s="148"/>
      <c r="Z35" s="149"/>
      <c r="AA35" s="150"/>
      <c r="AB35" s="151"/>
      <c r="AC35" s="150"/>
      <c r="AD35" s="151"/>
      <c r="AE35" s="150"/>
      <c r="AF35" s="151"/>
      <c r="AG35" s="150"/>
      <c r="AH35" s="151"/>
      <c r="AI35" s="150"/>
      <c r="AJ35" s="151"/>
      <c r="AK35" s="150"/>
      <c r="AL35" s="151"/>
      <c r="AM35" s="150"/>
      <c r="AN35" s="151"/>
      <c r="AO35" s="150"/>
      <c r="AP35" s="151"/>
    </row>
    <row r="36" spans="1:42" x14ac:dyDescent="0.25">
      <c r="B36" s="369" t="s">
        <v>70</v>
      </c>
      <c r="C36" s="625"/>
      <c r="D36" s="625"/>
      <c r="E36" s="625"/>
      <c r="F36" s="625"/>
      <c r="G36" s="625"/>
      <c r="H36" s="625"/>
      <c r="I36" s="625"/>
      <c r="J36" s="625"/>
      <c r="K36" s="152"/>
      <c r="L36" s="151"/>
      <c r="M36" s="150"/>
      <c r="N36" s="151"/>
      <c r="O36" s="150"/>
      <c r="P36" s="151"/>
      <c r="Q36" s="150"/>
      <c r="R36" s="151"/>
      <c r="S36" s="150"/>
      <c r="T36" s="151"/>
      <c r="U36" s="150"/>
      <c r="V36" s="151"/>
      <c r="W36" s="150"/>
      <c r="X36" s="151"/>
      <c r="Y36" s="150"/>
      <c r="Z36" s="151"/>
      <c r="AA36" s="150"/>
      <c r="AB36" s="151"/>
      <c r="AC36" s="150"/>
      <c r="AD36" s="151"/>
      <c r="AE36" s="150"/>
      <c r="AF36" s="151"/>
      <c r="AG36" s="150"/>
      <c r="AH36" s="151"/>
      <c r="AI36" s="150"/>
      <c r="AJ36" s="151"/>
      <c r="AK36" s="150"/>
      <c r="AL36" s="151"/>
      <c r="AM36" s="150"/>
      <c r="AN36" s="151"/>
      <c r="AO36" s="150"/>
      <c r="AP36" s="151"/>
    </row>
    <row r="37" spans="1:42" x14ac:dyDescent="0.25">
      <c r="B37" s="369" t="s">
        <v>71</v>
      </c>
      <c r="C37" s="625"/>
      <c r="D37" s="625"/>
      <c r="E37" s="625"/>
      <c r="F37" s="625"/>
      <c r="G37" s="625"/>
      <c r="H37" s="625"/>
      <c r="I37" s="625"/>
      <c r="J37" s="625"/>
      <c r="K37" s="152"/>
      <c r="L37" s="151"/>
      <c r="M37" s="150"/>
      <c r="N37" s="151"/>
      <c r="O37" s="150"/>
      <c r="P37" s="151"/>
      <c r="Q37" s="150"/>
      <c r="R37" s="151"/>
      <c r="S37" s="150"/>
      <c r="T37" s="151"/>
      <c r="U37" s="150"/>
      <c r="V37" s="151"/>
      <c r="W37" s="150"/>
      <c r="X37" s="151"/>
      <c r="Y37" s="150"/>
      <c r="Z37" s="151"/>
      <c r="AA37" s="150"/>
      <c r="AB37" s="151"/>
      <c r="AC37" s="150"/>
      <c r="AD37" s="151"/>
      <c r="AE37" s="150"/>
      <c r="AF37" s="151"/>
      <c r="AG37" s="150"/>
      <c r="AH37" s="151"/>
      <c r="AI37" s="150"/>
      <c r="AJ37" s="151"/>
      <c r="AK37" s="150"/>
      <c r="AL37" s="151"/>
      <c r="AM37" s="150"/>
      <c r="AN37" s="151"/>
      <c r="AO37" s="150"/>
      <c r="AP37" s="151"/>
    </row>
    <row r="38" spans="1:42" x14ac:dyDescent="0.25">
      <c r="B38" s="369" t="s">
        <v>72</v>
      </c>
      <c r="C38" s="625"/>
      <c r="D38" s="625"/>
      <c r="E38" s="625"/>
      <c r="F38" s="625"/>
      <c r="G38" s="625"/>
      <c r="H38" s="625"/>
      <c r="I38" s="625"/>
      <c r="J38" s="625"/>
      <c r="K38" s="152"/>
      <c r="L38" s="151"/>
      <c r="M38" s="150"/>
      <c r="N38" s="151"/>
      <c r="O38" s="150"/>
      <c r="P38" s="151"/>
      <c r="Q38" s="150"/>
      <c r="R38" s="151"/>
      <c r="S38" s="150"/>
      <c r="T38" s="151"/>
      <c r="U38" s="150"/>
      <c r="V38" s="151"/>
      <c r="W38" s="150"/>
      <c r="X38" s="151"/>
      <c r="Y38" s="150"/>
      <c r="Z38" s="151"/>
      <c r="AA38" s="150"/>
      <c r="AB38" s="151"/>
      <c r="AC38" s="150"/>
      <c r="AD38" s="151"/>
      <c r="AE38" s="150"/>
      <c r="AF38" s="151"/>
      <c r="AG38" s="150"/>
      <c r="AH38" s="151"/>
      <c r="AI38" s="150"/>
      <c r="AJ38" s="151"/>
      <c r="AK38" s="150"/>
      <c r="AL38" s="151"/>
      <c r="AM38" s="150"/>
      <c r="AN38" s="151"/>
      <c r="AO38" s="150"/>
      <c r="AP38" s="151"/>
    </row>
    <row r="39" spans="1:42" x14ac:dyDescent="0.25">
      <c r="A39" s="626"/>
      <c r="B39" s="369" t="s">
        <v>759</v>
      </c>
      <c r="C39" s="622"/>
      <c r="D39" s="622"/>
      <c r="E39" s="622"/>
      <c r="F39" s="622"/>
      <c r="G39" s="622"/>
      <c r="H39" s="622"/>
      <c r="I39" s="622"/>
      <c r="J39" s="622"/>
      <c r="K39" s="152"/>
      <c r="L39" s="151"/>
      <c r="M39" s="150"/>
      <c r="N39" s="151"/>
      <c r="O39" s="150"/>
      <c r="P39" s="151"/>
      <c r="Q39" s="150"/>
      <c r="R39" s="151"/>
      <c r="S39" s="150"/>
      <c r="T39" s="151"/>
      <c r="U39" s="150"/>
      <c r="V39" s="151"/>
      <c r="W39" s="150"/>
      <c r="X39" s="151"/>
      <c r="Y39" s="150"/>
      <c r="Z39" s="151"/>
      <c r="AA39" s="150"/>
      <c r="AB39" s="151"/>
      <c r="AC39" s="150"/>
      <c r="AD39" s="151"/>
      <c r="AE39" s="150"/>
      <c r="AF39" s="151"/>
      <c r="AG39" s="150"/>
      <c r="AH39" s="151"/>
      <c r="AI39" s="150"/>
      <c r="AJ39" s="151"/>
      <c r="AK39" s="150"/>
      <c r="AL39" s="151"/>
      <c r="AM39" s="150"/>
      <c r="AN39" s="151"/>
      <c r="AO39" s="150"/>
      <c r="AP39" s="151"/>
    </row>
    <row r="40" spans="1:42" x14ac:dyDescent="0.25">
      <c r="B40" s="369" t="s">
        <v>73</v>
      </c>
      <c r="C40" s="625"/>
      <c r="D40" s="625"/>
      <c r="E40" s="625"/>
      <c r="F40" s="625"/>
      <c r="G40" s="625"/>
      <c r="H40" s="625"/>
      <c r="I40" s="625"/>
      <c r="J40" s="625"/>
      <c r="K40" s="619"/>
      <c r="L40" s="627"/>
      <c r="M40" s="628"/>
      <c r="N40" s="627"/>
      <c r="O40" s="628"/>
      <c r="P40" s="627"/>
      <c r="Q40" s="150"/>
      <c r="R40" s="151"/>
      <c r="S40" s="150"/>
      <c r="T40" s="151"/>
      <c r="U40" s="150"/>
      <c r="V40" s="151"/>
      <c r="W40" s="150"/>
      <c r="X40" s="151"/>
      <c r="Y40" s="150"/>
      <c r="Z40" s="151"/>
      <c r="AA40" s="150"/>
      <c r="AB40" s="151"/>
      <c r="AC40" s="150"/>
      <c r="AD40" s="151"/>
      <c r="AE40" s="150"/>
      <c r="AF40" s="151"/>
      <c r="AG40" s="150"/>
      <c r="AH40" s="151"/>
      <c r="AI40" s="150"/>
      <c r="AJ40" s="151"/>
      <c r="AK40" s="150"/>
      <c r="AL40" s="151"/>
      <c r="AM40" s="150"/>
      <c r="AN40" s="151"/>
      <c r="AO40" s="150"/>
      <c r="AP40" s="151"/>
    </row>
    <row r="41" spans="1:42" x14ac:dyDescent="0.25">
      <c r="A41" s="626"/>
      <c r="B41" s="369" t="s">
        <v>74</v>
      </c>
      <c r="C41" s="622"/>
      <c r="D41" s="622"/>
      <c r="E41" s="622"/>
      <c r="F41" s="622"/>
      <c r="G41" s="622"/>
      <c r="H41" s="622"/>
      <c r="I41" s="622"/>
      <c r="J41" s="622"/>
      <c r="K41" s="152"/>
      <c r="L41" s="151"/>
      <c r="M41" s="150"/>
      <c r="N41" s="151"/>
      <c r="O41" s="150"/>
      <c r="P41" s="151"/>
      <c r="Q41" s="150"/>
      <c r="R41" s="151"/>
      <c r="S41" s="150"/>
      <c r="T41" s="151"/>
      <c r="U41" s="150"/>
      <c r="V41" s="151"/>
      <c r="W41" s="150"/>
      <c r="X41" s="151"/>
      <c r="Y41" s="150"/>
      <c r="Z41" s="151"/>
      <c r="AA41" s="150"/>
      <c r="AB41" s="151"/>
      <c r="AC41" s="150"/>
      <c r="AD41" s="151"/>
      <c r="AE41" s="150"/>
      <c r="AF41" s="151"/>
      <c r="AG41" s="150"/>
      <c r="AH41" s="151"/>
      <c r="AI41" s="150"/>
      <c r="AJ41" s="151"/>
      <c r="AK41" s="150"/>
      <c r="AL41" s="151"/>
      <c r="AM41" s="150"/>
      <c r="AN41" s="151"/>
      <c r="AO41" s="150"/>
      <c r="AP41" s="151"/>
    </row>
    <row r="42" spans="1:42" x14ac:dyDescent="0.25">
      <c r="B42" s="369" t="s">
        <v>75</v>
      </c>
      <c r="C42" s="622"/>
      <c r="D42" s="622"/>
      <c r="E42" s="622"/>
      <c r="F42" s="622"/>
      <c r="G42" s="622"/>
      <c r="H42" s="622"/>
      <c r="I42" s="622"/>
      <c r="J42" s="622"/>
      <c r="K42" s="619"/>
      <c r="L42" s="627"/>
      <c r="M42" s="628"/>
      <c r="N42" s="627"/>
      <c r="O42" s="628"/>
      <c r="P42" s="627"/>
      <c r="Q42" s="628"/>
      <c r="R42" s="627"/>
      <c r="S42" s="628"/>
      <c r="T42" s="627"/>
      <c r="U42" s="628"/>
      <c r="V42" s="627"/>
      <c r="W42" s="628"/>
      <c r="X42" s="627"/>
      <c r="Y42" s="628"/>
      <c r="Z42" s="627"/>
      <c r="AA42" s="628"/>
      <c r="AB42" s="627"/>
      <c r="AC42" s="628"/>
      <c r="AD42" s="627"/>
      <c r="AE42" s="628"/>
      <c r="AF42" s="627"/>
      <c r="AG42" s="628"/>
      <c r="AH42" s="627"/>
      <c r="AI42" s="628"/>
      <c r="AJ42" s="627"/>
      <c r="AK42" s="628"/>
      <c r="AL42" s="627"/>
      <c r="AM42" s="628"/>
      <c r="AN42" s="627"/>
      <c r="AO42" s="628"/>
      <c r="AP42" s="627"/>
    </row>
    <row r="43" spans="1:42" x14ac:dyDescent="0.25">
      <c r="B43" s="369" t="s">
        <v>79</v>
      </c>
      <c r="C43" s="622"/>
      <c r="D43" s="622"/>
      <c r="E43" s="622"/>
      <c r="F43" s="622"/>
      <c r="G43" s="622"/>
      <c r="H43" s="622"/>
      <c r="I43" s="622"/>
      <c r="J43" s="622"/>
      <c r="K43" s="619"/>
      <c r="L43" s="627"/>
      <c r="M43" s="628"/>
      <c r="N43" s="627"/>
      <c r="O43" s="628"/>
      <c r="P43" s="627"/>
      <c r="Q43" s="628"/>
      <c r="R43" s="627"/>
      <c r="S43" s="628"/>
      <c r="T43" s="627"/>
      <c r="U43" s="628"/>
      <c r="V43" s="627"/>
      <c r="W43" s="628"/>
      <c r="X43" s="627"/>
      <c r="Y43" s="628"/>
      <c r="Z43" s="627"/>
      <c r="AA43" s="628"/>
      <c r="AB43" s="627"/>
      <c r="AC43" s="628"/>
      <c r="AD43" s="627"/>
      <c r="AE43" s="628"/>
      <c r="AF43" s="627"/>
      <c r="AG43" s="628"/>
      <c r="AH43" s="627"/>
      <c r="AI43" s="628"/>
      <c r="AJ43" s="627"/>
      <c r="AK43" s="628"/>
      <c r="AL43" s="627"/>
      <c r="AM43" s="628"/>
      <c r="AN43" s="627"/>
      <c r="AO43" s="628"/>
      <c r="AP43" s="627"/>
    </row>
    <row r="44" spans="1:42" x14ac:dyDescent="0.25">
      <c r="B44" s="369" t="s">
        <v>80</v>
      </c>
      <c r="C44" s="622"/>
      <c r="D44" s="622"/>
      <c r="E44" s="622"/>
      <c r="F44" s="622"/>
      <c r="G44" s="622"/>
      <c r="H44" s="622"/>
      <c r="I44" s="622"/>
      <c r="J44" s="622"/>
      <c r="K44" s="619"/>
      <c r="L44" s="627"/>
      <c r="M44" s="628"/>
      <c r="N44" s="627"/>
      <c r="O44" s="628"/>
      <c r="P44" s="627"/>
      <c r="Q44" s="628"/>
      <c r="R44" s="627"/>
      <c r="S44" s="628"/>
      <c r="T44" s="627"/>
      <c r="U44" s="628"/>
      <c r="V44" s="627"/>
      <c r="W44" s="628"/>
      <c r="X44" s="627"/>
      <c r="Y44" s="628"/>
      <c r="Z44" s="627"/>
      <c r="AA44" s="628"/>
      <c r="AB44" s="627"/>
      <c r="AC44" s="628"/>
      <c r="AD44" s="627"/>
      <c r="AE44" s="628"/>
      <c r="AF44" s="627"/>
      <c r="AG44" s="628"/>
      <c r="AH44" s="627"/>
      <c r="AI44" s="628"/>
      <c r="AJ44" s="627"/>
      <c r="AK44" s="628"/>
      <c r="AL44" s="627"/>
      <c r="AM44" s="628"/>
      <c r="AN44" s="627"/>
      <c r="AO44" s="628"/>
      <c r="AP44" s="627"/>
    </row>
    <row r="45" spans="1:42" x14ac:dyDescent="0.25">
      <c r="B45" s="369" t="s">
        <v>81</v>
      </c>
      <c r="C45" s="622"/>
      <c r="D45" s="622"/>
      <c r="E45" s="622"/>
      <c r="F45" s="622"/>
      <c r="G45" s="622"/>
      <c r="H45" s="622"/>
      <c r="I45" s="622"/>
      <c r="J45" s="622"/>
      <c r="K45" s="619"/>
      <c r="L45" s="627"/>
      <c r="M45" s="628"/>
      <c r="N45" s="627"/>
      <c r="O45" s="628"/>
      <c r="P45" s="627"/>
      <c r="Q45" s="628"/>
      <c r="R45" s="627"/>
      <c r="S45" s="628"/>
      <c r="T45" s="627"/>
      <c r="U45" s="628"/>
      <c r="V45" s="627"/>
      <c r="W45" s="628"/>
      <c r="X45" s="627"/>
      <c r="Y45" s="628"/>
      <c r="Z45" s="627"/>
      <c r="AA45" s="628"/>
      <c r="AB45" s="627"/>
      <c r="AC45" s="628"/>
      <c r="AD45" s="627"/>
      <c r="AE45" s="628"/>
      <c r="AF45" s="627"/>
      <c r="AG45" s="628"/>
      <c r="AH45" s="627"/>
      <c r="AI45" s="628"/>
      <c r="AJ45" s="627"/>
      <c r="AK45" s="628"/>
      <c r="AL45" s="627"/>
      <c r="AM45" s="628"/>
      <c r="AN45" s="627"/>
      <c r="AO45" s="628"/>
      <c r="AP45" s="627"/>
    </row>
    <row r="46" spans="1:42" x14ac:dyDescent="0.25">
      <c r="B46" s="369" t="s">
        <v>485</v>
      </c>
      <c r="C46" s="622"/>
      <c r="D46" s="622"/>
      <c r="E46" s="622"/>
      <c r="F46" s="622"/>
      <c r="G46" s="622"/>
      <c r="H46" s="622"/>
      <c r="I46" s="622"/>
      <c r="J46" s="622"/>
      <c r="K46" s="619"/>
      <c r="L46" s="627"/>
      <c r="M46" s="628"/>
      <c r="N46" s="627"/>
      <c r="O46" s="628"/>
      <c r="P46" s="627"/>
      <c r="Q46" s="628"/>
      <c r="R46" s="627"/>
      <c r="S46" s="628"/>
      <c r="T46" s="627"/>
      <c r="U46" s="628"/>
      <c r="V46" s="627"/>
      <c r="W46" s="628"/>
      <c r="X46" s="627"/>
      <c r="Y46" s="628"/>
      <c r="Z46" s="627"/>
      <c r="AA46" s="628"/>
      <c r="AB46" s="627"/>
      <c r="AC46" s="628"/>
      <c r="AD46" s="627"/>
      <c r="AE46" s="628"/>
      <c r="AF46" s="627"/>
      <c r="AG46" s="628"/>
      <c r="AH46" s="627"/>
      <c r="AI46" s="628"/>
      <c r="AJ46" s="627"/>
      <c r="AK46" s="628"/>
      <c r="AL46" s="627"/>
      <c r="AM46" s="628"/>
      <c r="AN46" s="627"/>
      <c r="AO46" s="628"/>
      <c r="AP46" s="627"/>
    </row>
    <row r="47" spans="1:42" x14ac:dyDescent="0.25">
      <c r="B47" s="369" t="s">
        <v>82</v>
      </c>
      <c r="C47" s="622"/>
      <c r="D47" s="622"/>
      <c r="E47" s="622"/>
      <c r="F47" s="622"/>
      <c r="G47" s="622"/>
      <c r="H47" s="622"/>
      <c r="I47" s="622"/>
      <c r="J47" s="622"/>
      <c r="K47" s="619"/>
      <c r="L47" s="627"/>
      <c r="M47" s="628"/>
      <c r="N47" s="627"/>
      <c r="O47" s="628"/>
      <c r="P47" s="627"/>
      <c r="Q47" s="628"/>
      <c r="R47" s="627"/>
      <c r="S47" s="628"/>
      <c r="T47" s="627"/>
      <c r="U47" s="628"/>
      <c r="V47" s="627"/>
      <c r="W47" s="628"/>
      <c r="X47" s="627"/>
      <c r="Y47" s="628"/>
      <c r="Z47" s="627"/>
      <c r="AA47" s="628"/>
      <c r="AB47" s="627"/>
      <c r="AC47" s="628"/>
      <c r="AD47" s="627"/>
      <c r="AE47" s="628"/>
      <c r="AF47" s="627"/>
      <c r="AG47" s="628"/>
      <c r="AH47" s="627"/>
      <c r="AI47" s="628"/>
      <c r="AJ47" s="627"/>
      <c r="AK47" s="628"/>
      <c r="AL47" s="627"/>
      <c r="AM47" s="628"/>
      <c r="AN47" s="627"/>
      <c r="AO47" s="628"/>
      <c r="AP47" s="627"/>
    </row>
    <row r="48" spans="1:42" x14ac:dyDescent="0.25">
      <c r="B48" s="369" t="s">
        <v>84</v>
      </c>
      <c r="C48" s="622"/>
      <c r="D48" s="622"/>
      <c r="E48" s="622"/>
      <c r="F48" s="622"/>
      <c r="G48" s="622"/>
      <c r="H48" s="622"/>
      <c r="I48" s="622"/>
      <c r="J48" s="622"/>
      <c r="K48" s="619"/>
      <c r="L48" s="627"/>
      <c r="M48" s="628"/>
      <c r="N48" s="627"/>
      <c r="O48" s="628"/>
      <c r="P48" s="627"/>
      <c r="Q48" s="628"/>
      <c r="R48" s="627"/>
      <c r="S48" s="628"/>
      <c r="T48" s="627"/>
      <c r="U48" s="628"/>
      <c r="V48" s="627"/>
      <c r="W48" s="628"/>
      <c r="X48" s="627"/>
      <c r="Y48" s="628"/>
      <c r="Z48" s="627"/>
      <c r="AA48" s="628"/>
      <c r="AB48" s="627"/>
      <c r="AC48" s="628"/>
      <c r="AD48" s="627"/>
      <c r="AE48" s="628"/>
      <c r="AF48" s="627"/>
      <c r="AG48" s="628"/>
      <c r="AH48" s="627"/>
      <c r="AI48" s="628"/>
      <c r="AJ48" s="627"/>
      <c r="AK48" s="628"/>
      <c r="AL48" s="627"/>
      <c r="AM48" s="628"/>
      <c r="AN48" s="627"/>
      <c r="AO48" s="628"/>
      <c r="AP48" s="627"/>
    </row>
    <row r="49" spans="2:42" x14ac:dyDescent="0.25">
      <c r="B49" s="369" t="s">
        <v>88</v>
      </c>
      <c r="C49" s="622"/>
      <c r="D49" s="622"/>
      <c r="E49" s="622"/>
      <c r="F49" s="622"/>
      <c r="G49" s="622"/>
      <c r="H49" s="622"/>
      <c r="I49" s="622"/>
      <c r="J49" s="622"/>
      <c r="K49" s="619"/>
      <c r="L49" s="627"/>
      <c r="M49" s="628"/>
      <c r="N49" s="627"/>
      <c r="O49" s="628"/>
      <c r="P49" s="627"/>
      <c r="Q49" s="628"/>
      <c r="R49" s="627"/>
      <c r="S49" s="628"/>
      <c r="T49" s="627"/>
      <c r="U49" s="628"/>
      <c r="V49" s="627"/>
      <c r="W49" s="628"/>
      <c r="X49" s="627"/>
      <c r="Y49" s="628"/>
      <c r="Z49" s="627"/>
      <c r="AA49" s="628"/>
      <c r="AB49" s="627"/>
      <c r="AC49" s="628"/>
      <c r="AD49" s="627"/>
      <c r="AE49" s="628"/>
      <c r="AF49" s="627"/>
      <c r="AG49" s="628"/>
      <c r="AH49" s="627"/>
      <c r="AI49" s="628"/>
      <c r="AJ49" s="627"/>
      <c r="AK49" s="628"/>
      <c r="AL49" s="627"/>
      <c r="AM49" s="628"/>
      <c r="AN49" s="627"/>
      <c r="AO49" s="628"/>
      <c r="AP49" s="627"/>
    </row>
    <row r="50" spans="2:42" x14ac:dyDescent="0.25">
      <c r="B50" s="369" t="s">
        <v>89</v>
      </c>
      <c r="C50" s="622"/>
      <c r="D50" s="622"/>
      <c r="E50" s="622"/>
      <c r="F50" s="622"/>
      <c r="G50" s="622"/>
      <c r="H50" s="622"/>
      <c r="I50" s="622"/>
      <c r="J50" s="622"/>
      <c r="K50" s="619"/>
      <c r="L50" s="627"/>
      <c r="M50" s="628"/>
      <c r="N50" s="627"/>
      <c r="O50" s="628"/>
      <c r="P50" s="627"/>
      <c r="Q50" s="628"/>
      <c r="R50" s="627"/>
      <c r="S50" s="628"/>
      <c r="T50" s="627"/>
      <c r="U50" s="628"/>
      <c r="V50" s="627"/>
      <c r="W50" s="628"/>
      <c r="X50" s="627"/>
      <c r="Y50" s="628"/>
      <c r="Z50" s="627"/>
      <c r="AA50" s="628"/>
      <c r="AB50" s="627"/>
      <c r="AC50" s="628"/>
      <c r="AD50" s="627"/>
      <c r="AE50" s="628"/>
      <c r="AF50" s="627"/>
      <c r="AG50" s="628"/>
      <c r="AH50" s="627"/>
      <c r="AI50" s="628"/>
      <c r="AJ50" s="627"/>
      <c r="AK50" s="628"/>
      <c r="AL50" s="627"/>
      <c r="AM50" s="628"/>
      <c r="AN50" s="627"/>
      <c r="AO50" s="628"/>
      <c r="AP50" s="627"/>
    </row>
    <row r="51" spans="2:42" x14ac:dyDescent="0.25">
      <c r="B51" s="369" t="s">
        <v>90</v>
      </c>
      <c r="C51" s="622"/>
      <c r="D51" s="622"/>
      <c r="E51" s="622"/>
      <c r="F51" s="622"/>
      <c r="G51" s="622"/>
      <c r="H51" s="622"/>
      <c r="I51" s="622"/>
      <c r="J51" s="622"/>
      <c r="K51" s="619"/>
      <c r="L51" s="627"/>
      <c r="M51" s="628"/>
      <c r="N51" s="627"/>
      <c r="O51" s="628"/>
      <c r="P51" s="627"/>
      <c r="Q51" s="628"/>
      <c r="R51" s="627"/>
      <c r="S51" s="628"/>
      <c r="T51" s="627"/>
      <c r="U51" s="628"/>
      <c r="V51" s="627"/>
      <c r="W51" s="628"/>
      <c r="X51" s="627"/>
      <c r="Y51" s="628"/>
      <c r="Z51" s="627"/>
      <c r="AA51" s="628"/>
      <c r="AB51" s="627"/>
      <c r="AC51" s="628"/>
      <c r="AD51" s="627"/>
      <c r="AE51" s="628"/>
      <c r="AF51" s="627"/>
      <c r="AG51" s="628"/>
      <c r="AH51" s="627"/>
      <c r="AI51" s="628"/>
      <c r="AJ51" s="627"/>
      <c r="AK51" s="628"/>
      <c r="AL51" s="627"/>
      <c r="AM51" s="628"/>
      <c r="AN51" s="627"/>
      <c r="AO51" s="628"/>
      <c r="AP51" s="627"/>
    </row>
    <row r="52" spans="2:42" x14ac:dyDescent="0.25">
      <c r="B52" s="369" t="s">
        <v>91</v>
      </c>
      <c r="C52" s="622"/>
      <c r="D52" s="622"/>
      <c r="E52" s="622"/>
      <c r="F52" s="622"/>
      <c r="G52" s="622"/>
      <c r="H52" s="622"/>
      <c r="I52" s="622"/>
      <c r="J52" s="622"/>
      <c r="K52" s="619"/>
      <c r="L52" s="627"/>
      <c r="M52" s="628"/>
      <c r="N52" s="627"/>
      <c r="O52" s="628"/>
      <c r="P52" s="627"/>
      <c r="Q52" s="628"/>
      <c r="R52" s="627"/>
      <c r="S52" s="628"/>
      <c r="T52" s="627"/>
      <c r="U52" s="628"/>
      <c r="V52" s="627"/>
      <c r="W52" s="628"/>
      <c r="X52" s="627"/>
      <c r="Y52" s="628"/>
      <c r="Z52" s="627"/>
      <c r="AA52" s="628"/>
      <c r="AB52" s="627"/>
      <c r="AC52" s="628"/>
      <c r="AD52" s="627"/>
      <c r="AE52" s="628"/>
      <c r="AF52" s="627"/>
      <c r="AG52" s="628"/>
      <c r="AH52" s="627"/>
      <c r="AI52" s="628"/>
      <c r="AJ52" s="627"/>
      <c r="AK52" s="628"/>
      <c r="AL52" s="627"/>
      <c r="AM52" s="628"/>
      <c r="AN52" s="627"/>
      <c r="AO52" s="628"/>
      <c r="AP52" s="627"/>
    </row>
    <row r="53" spans="2:42" x14ac:dyDescent="0.25">
      <c r="B53" s="369" t="s">
        <v>92</v>
      </c>
      <c r="C53" s="622"/>
      <c r="D53" s="622"/>
      <c r="E53" s="622"/>
      <c r="F53" s="622"/>
      <c r="G53" s="622"/>
      <c r="H53" s="622"/>
      <c r="I53" s="622"/>
      <c r="J53" s="622"/>
      <c r="K53" s="619"/>
      <c r="L53" s="627"/>
      <c r="M53" s="628"/>
      <c r="N53" s="627"/>
      <c r="O53" s="628"/>
      <c r="P53" s="627"/>
      <c r="Q53" s="628"/>
      <c r="R53" s="627"/>
      <c r="S53" s="628"/>
      <c r="T53" s="627"/>
      <c r="U53" s="628"/>
      <c r="V53" s="627"/>
      <c r="W53" s="628"/>
      <c r="X53" s="627"/>
      <c r="Y53" s="628"/>
      <c r="Z53" s="627"/>
      <c r="AA53" s="628"/>
      <c r="AB53" s="627"/>
      <c r="AC53" s="628"/>
      <c r="AD53" s="627"/>
      <c r="AE53" s="628"/>
      <c r="AF53" s="627"/>
      <c r="AG53" s="628"/>
      <c r="AH53" s="627"/>
      <c r="AI53" s="628"/>
      <c r="AJ53" s="627"/>
      <c r="AK53" s="628"/>
      <c r="AL53" s="627"/>
      <c r="AM53" s="628"/>
      <c r="AN53" s="627"/>
      <c r="AO53" s="628"/>
      <c r="AP53" s="627"/>
    </row>
    <row r="54" spans="2:42" x14ac:dyDescent="0.25">
      <c r="B54" s="369" t="s">
        <v>93</v>
      </c>
      <c r="C54" s="622"/>
      <c r="D54" s="622"/>
      <c r="E54" s="622"/>
      <c r="F54" s="622"/>
      <c r="G54" s="622"/>
      <c r="H54" s="622"/>
      <c r="I54" s="622"/>
      <c r="J54" s="622"/>
      <c r="K54" s="619"/>
      <c r="L54" s="627"/>
      <c r="M54" s="619"/>
      <c r="N54" s="627"/>
      <c r="O54" s="628"/>
      <c r="P54" s="627"/>
      <c r="Q54" s="628"/>
      <c r="R54" s="627"/>
      <c r="S54" s="628"/>
      <c r="T54" s="627"/>
      <c r="U54" s="628"/>
      <c r="V54" s="627"/>
      <c r="W54" s="628"/>
      <c r="X54" s="627"/>
      <c r="Y54" s="628"/>
      <c r="Z54" s="627"/>
      <c r="AA54" s="628"/>
      <c r="AB54" s="627"/>
      <c r="AC54" s="628"/>
      <c r="AD54" s="627"/>
      <c r="AE54" s="628"/>
      <c r="AF54" s="627"/>
      <c r="AG54" s="628"/>
      <c r="AH54" s="627"/>
      <c r="AI54" s="628"/>
      <c r="AJ54" s="627"/>
      <c r="AK54" s="628"/>
      <c r="AL54" s="627"/>
      <c r="AM54" s="628"/>
      <c r="AN54" s="627"/>
      <c r="AO54" s="628"/>
      <c r="AP54" s="627"/>
    </row>
    <row r="55" spans="2:42" x14ac:dyDescent="0.25">
      <c r="B55" s="369" t="s">
        <v>94</v>
      </c>
      <c r="C55" s="622"/>
      <c r="D55" s="622"/>
      <c r="E55" s="622"/>
      <c r="F55" s="622"/>
      <c r="G55" s="622"/>
      <c r="H55" s="622"/>
      <c r="I55" s="622"/>
      <c r="J55" s="622"/>
      <c r="K55" s="152"/>
      <c r="L55" s="151"/>
      <c r="M55" s="150"/>
      <c r="N55" s="151"/>
      <c r="O55" s="150"/>
      <c r="P55" s="151"/>
      <c r="Q55" s="150"/>
      <c r="R55" s="151"/>
      <c r="S55" s="628"/>
      <c r="T55" s="627"/>
      <c r="U55" s="628"/>
      <c r="V55" s="627"/>
      <c r="W55" s="628"/>
      <c r="X55" s="627"/>
      <c r="Y55" s="628"/>
      <c r="Z55" s="627"/>
      <c r="AA55" s="628"/>
      <c r="AB55" s="627"/>
      <c r="AC55" s="628"/>
      <c r="AD55" s="627"/>
      <c r="AE55" s="628"/>
      <c r="AF55" s="627"/>
      <c r="AG55" s="628"/>
      <c r="AH55" s="627"/>
      <c r="AI55" s="628"/>
      <c r="AJ55" s="627"/>
      <c r="AK55" s="628"/>
      <c r="AL55" s="627"/>
      <c r="AM55" s="628"/>
      <c r="AN55" s="627"/>
      <c r="AO55" s="628"/>
      <c r="AP55" s="627"/>
    </row>
    <row r="56" spans="2:42" x14ac:dyDescent="0.25">
      <c r="B56" s="369" t="s">
        <v>95</v>
      </c>
      <c r="C56" s="622"/>
      <c r="D56" s="622"/>
      <c r="E56" s="622"/>
      <c r="F56" s="622"/>
      <c r="G56" s="622"/>
      <c r="H56" s="622"/>
      <c r="I56" s="622"/>
      <c r="J56" s="622"/>
      <c r="K56" s="152"/>
      <c r="L56" s="151"/>
      <c r="M56" s="150"/>
      <c r="N56" s="151"/>
      <c r="O56" s="150"/>
      <c r="P56" s="151"/>
      <c r="Q56" s="150"/>
      <c r="R56" s="151"/>
      <c r="S56" s="628"/>
      <c r="T56" s="627"/>
      <c r="U56" s="628"/>
      <c r="V56" s="627"/>
      <c r="W56" s="628"/>
      <c r="X56" s="627"/>
      <c r="Y56" s="628"/>
      <c r="Z56" s="627"/>
      <c r="AA56" s="628"/>
      <c r="AB56" s="627"/>
      <c r="AC56" s="628"/>
      <c r="AD56" s="627"/>
      <c r="AE56" s="628"/>
      <c r="AF56" s="627"/>
      <c r="AG56" s="628"/>
      <c r="AH56" s="627"/>
      <c r="AI56" s="628"/>
      <c r="AJ56" s="627"/>
      <c r="AK56" s="628"/>
      <c r="AL56" s="627"/>
      <c r="AM56" s="628"/>
      <c r="AN56" s="627"/>
      <c r="AO56" s="628"/>
      <c r="AP56" s="627"/>
    </row>
    <row r="57" spans="2:42" x14ac:dyDescent="0.25">
      <c r="B57" s="369" t="s">
        <v>96</v>
      </c>
      <c r="C57" s="622"/>
      <c r="D57" s="622"/>
      <c r="E57" s="622"/>
      <c r="F57" s="622"/>
      <c r="G57" s="622"/>
      <c r="H57" s="622"/>
      <c r="I57" s="622"/>
      <c r="J57" s="622"/>
      <c r="K57" s="152"/>
      <c r="L57" s="151"/>
      <c r="M57" s="150"/>
      <c r="N57" s="151"/>
      <c r="O57" s="150"/>
      <c r="P57" s="151"/>
      <c r="Q57" s="150"/>
      <c r="R57" s="151"/>
      <c r="S57" s="150"/>
      <c r="T57" s="151"/>
      <c r="U57" s="628"/>
      <c r="V57" s="627"/>
      <c r="W57" s="628"/>
      <c r="X57" s="627"/>
      <c r="Y57" s="628"/>
      <c r="Z57" s="627"/>
      <c r="AA57" s="628"/>
      <c r="AB57" s="627"/>
      <c r="AC57" s="628"/>
      <c r="AD57" s="627"/>
      <c r="AE57" s="628"/>
      <c r="AF57" s="627"/>
      <c r="AG57" s="150"/>
      <c r="AH57" s="151"/>
      <c r="AI57" s="150"/>
      <c r="AJ57" s="151"/>
      <c r="AK57" s="150"/>
      <c r="AL57" s="151"/>
      <c r="AM57" s="150"/>
      <c r="AN57" s="151"/>
      <c r="AO57" s="150"/>
      <c r="AP57" s="151"/>
    </row>
    <row r="58" spans="2:42" x14ac:dyDescent="0.25">
      <c r="B58" s="369" t="s">
        <v>97</v>
      </c>
      <c r="C58" s="622"/>
      <c r="D58" s="622"/>
      <c r="E58" s="622"/>
      <c r="F58" s="622"/>
      <c r="G58" s="622"/>
      <c r="H58" s="622"/>
      <c r="I58" s="622"/>
      <c r="J58" s="622"/>
      <c r="K58" s="619"/>
      <c r="L58" s="627"/>
      <c r="M58" s="628"/>
      <c r="N58" s="627"/>
      <c r="O58" s="628"/>
      <c r="P58" s="627"/>
      <c r="Q58" s="628"/>
      <c r="R58" s="627"/>
      <c r="S58" s="628"/>
      <c r="T58" s="627"/>
      <c r="U58" s="628"/>
      <c r="V58" s="627"/>
      <c r="W58" s="628"/>
      <c r="X58" s="627"/>
      <c r="Y58" s="628"/>
      <c r="Z58" s="627"/>
      <c r="AA58" s="628"/>
      <c r="AB58" s="627"/>
      <c r="AC58" s="628"/>
      <c r="AD58" s="627"/>
      <c r="AE58" s="628"/>
      <c r="AF58" s="627"/>
      <c r="AG58" s="628"/>
      <c r="AH58" s="627"/>
      <c r="AI58" s="628"/>
      <c r="AJ58" s="627"/>
      <c r="AK58" s="628"/>
      <c r="AL58" s="627"/>
      <c r="AM58" s="628"/>
      <c r="AN58" s="627"/>
      <c r="AO58" s="628"/>
      <c r="AP58" s="627"/>
    </row>
    <row r="59" spans="2:42" x14ac:dyDescent="0.25">
      <c r="B59" s="369" t="s">
        <v>99</v>
      </c>
      <c r="C59" s="622"/>
      <c r="D59" s="622"/>
      <c r="E59" s="622"/>
      <c r="F59" s="622"/>
      <c r="G59" s="622"/>
      <c r="H59" s="622"/>
      <c r="I59" s="622"/>
      <c r="J59" s="622"/>
      <c r="K59" s="619"/>
      <c r="L59" s="627"/>
      <c r="M59" s="628"/>
      <c r="N59" s="627"/>
      <c r="O59" s="628"/>
      <c r="P59" s="627"/>
      <c r="Q59" s="628"/>
      <c r="R59" s="627"/>
      <c r="S59" s="628"/>
      <c r="T59" s="627"/>
      <c r="U59" s="628"/>
      <c r="V59" s="627"/>
      <c r="W59" s="628"/>
      <c r="X59" s="627"/>
      <c r="Y59" s="628"/>
      <c r="Z59" s="627"/>
      <c r="AA59" s="628"/>
      <c r="AB59" s="627"/>
      <c r="AC59" s="628"/>
      <c r="AD59" s="627"/>
      <c r="AE59" s="628"/>
      <c r="AF59" s="627"/>
      <c r="AG59" s="628"/>
      <c r="AH59" s="627"/>
      <c r="AI59" s="628"/>
      <c r="AJ59" s="627"/>
      <c r="AK59" s="628"/>
      <c r="AL59" s="627"/>
      <c r="AM59" s="628"/>
      <c r="AN59" s="627"/>
      <c r="AO59" s="628"/>
      <c r="AP59" s="627"/>
    </row>
    <row r="60" spans="2:42" x14ac:dyDescent="0.25">
      <c r="B60" s="369" t="s">
        <v>101</v>
      </c>
      <c r="C60" s="622"/>
      <c r="D60" s="622"/>
      <c r="E60" s="622"/>
      <c r="F60" s="622"/>
      <c r="G60" s="622"/>
      <c r="H60" s="622"/>
      <c r="I60" s="622"/>
      <c r="J60" s="622"/>
      <c r="K60" s="152"/>
      <c r="L60" s="151"/>
      <c r="M60" s="150"/>
      <c r="N60" s="151"/>
      <c r="O60" s="150"/>
      <c r="P60" s="151"/>
      <c r="Q60" s="150"/>
      <c r="R60" s="151"/>
      <c r="S60" s="150"/>
      <c r="T60" s="151"/>
      <c r="U60" s="150"/>
      <c r="V60" s="151"/>
      <c r="W60" s="628"/>
      <c r="X60" s="627"/>
      <c r="Y60" s="628"/>
      <c r="Z60" s="627"/>
      <c r="AA60" s="628"/>
      <c r="AB60" s="627"/>
      <c r="AC60" s="150"/>
      <c r="AD60" s="151"/>
      <c r="AE60" s="150"/>
      <c r="AF60" s="151"/>
      <c r="AG60" s="150"/>
      <c r="AH60" s="151"/>
      <c r="AI60" s="150"/>
      <c r="AJ60" s="151"/>
      <c r="AK60" s="150"/>
      <c r="AL60" s="151"/>
      <c r="AM60" s="150"/>
      <c r="AN60" s="151"/>
      <c r="AO60" s="150"/>
      <c r="AP60" s="151"/>
    </row>
    <row r="61" spans="2:42" x14ac:dyDescent="0.25">
      <c r="B61" s="369" t="s">
        <v>190</v>
      </c>
      <c r="C61" s="625"/>
      <c r="D61" s="625"/>
      <c r="E61" s="625"/>
      <c r="F61" s="625"/>
      <c r="G61" s="625"/>
      <c r="H61" s="625"/>
      <c r="I61" s="625"/>
      <c r="J61" s="625"/>
      <c r="K61" s="619"/>
      <c r="L61" s="627"/>
      <c r="M61" s="628"/>
      <c r="N61" s="627"/>
      <c r="O61" s="628"/>
      <c r="P61" s="627"/>
      <c r="Q61" s="628"/>
      <c r="R61" s="627"/>
      <c r="S61" s="150"/>
      <c r="T61" s="151"/>
      <c r="U61" s="150"/>
      <c r="V61" s="151"/>
      <c r="W61" s="150"/>
      <c r="X61" s="151"/>
      <c r="Y61" s="150"/>
      <c r="Z61" s="151"/>
      <c r="AA61" s="150"/>
      <c r="AB61" s="151"/>
      <c r="AC61" s="150"/>
      <c r="AD61" s="151"/>
      <c r="AE61" s="150"/>
      <c r="AF61" s="151"/>
      <c r="AG61" s="150"/>
      <c r="AH61" s="151"/>
      <c r="AI61" s="150"/>
      <c r="AJ61" s="151"/>
      <c r="AK61" s="150"/>
      <c r="AL61" s="151"/>
      <c r="AM61" s="150"/>
      <c r="AN61" s="151"/>
      <c r="AO61" s="150"/>
      <c r="AP61" s="151"/>
    </row>
    <row r="62" spans="2:42" x14ac:dyDescent="0.25">
      <c r="B62" s="369" t="s">
        <v>191</v>
      </c>
      <c r="C62" s="625"/>
      <c r="D62" s="625"/>
      <c r="E62" s="625"/>
      <c r="F62" s="625"/>
      <c r="G62" s="625"/>
      <c r="H62" s="625"/>
      <c r="I62" s="625"/>
      <c r="J62" s="625"/>
      <c r="K62" s="619"/>
      <c r="L62" s="627"/>
      <c r="M62" s="628"/>
      <c r="N62" s="627"/>
      <c r="O62" s="628"/>
      <c r="P62" s="627"/>
      <c r="Q62" s="628"/>
      <c r="R62" s="627"/>
      <c r="S62" s="150"/>
      <c r="T62" s="151"/>
      <c r="U62" s="150"/>
      <c r="V62" s="151"/>
      <c r="W62" s="150"/>
      <c r="X62" s="151"/>
      <c r="Y62" s="150"/>
      <c r="Z62" s="151"/>
      <c r="AA62" s="150"/>
      <c r="AB62" s="151"/>
      <c r="AC62" s="150"/>
      <c r="AD62" s="151"/>
      <c r="AE62" s="150"/>
      <c r="AF62" s="151"/>
      <c r="AG62" s="150"/>
      <c r="AH62" s="151"/>
      <c r="AI62" s="150"/>
      <c r="AJ62" s="151"/>
      <c r="AK62" s="150"/>
      <c r="AL62" s="151"/>
      <c r="AM62" s="150"/>
      <c r="AN62" s="151"/>
      <c r="AO62" s="150"/>
      <c r="AP62" s="151"/>
    </row>
    <row r="63" spans="2:42" x14ac:dyDescent="0.25">
      <c r="B63" s="369" t="s">
        <v>208</v>
      </c>
      <c r="C63" s="622"/>
      <c r="D63" s="622"/>
      <c r="E63" s="622"/>
      <c r="F63" s="622"/>
      <c r="G63" s="622"/>
      <c r="H63" s="622"/>
      <c r="I63" s="622"/>
      <c r="J63" s="622"/>
      <c r="K63" s="619"/>
      <c r="L63" s="627"/>
      <c r="M63" s="628"/>
      <c r="N63" s="627"/>
      <c r="O63" s="628"/>
      <c r="P63" s="627"/>
      <c r="Q63" s="628"/>
      <c r="R63" s="627"/>
      <c r="S63" s="628"/>
      <c r="T63" s="627"/>
      <c r="U63" s="150"/>
      <c r="V63" s="151"/>
      <c r="W63" s="150"/>
      <c r="X63" s="151"/>
      <c r="Y63" s="150"/>
      <c r="Z63" s="151"/>
      <c r="AA63" s="150"/>
      <c r="AB63" s="151"/>
      <c r="AC63" s="150"/>
      <c r="AD63" s="151"/>
      <c r="AE63" s="150"/>
      <c r="AF63" s="151"/>
      <c r="AG63" s="150"/>
      <c r="AH63" s="151"/>
      <c r="AI63" s="150"/>
      <c r="AJ63" s="151"/>
      <c r="AK63" s="150"/>
      <c r="AL63" s="151"/>
      <c r="AM63" s="150"/>
      <c r="AN63" s="151"/>
      <c r="AO63" s="150"/>
      <c r="AP63" s="151"/>
    </row>
    <row r="64" spans="2:42" x14ac:dyDescent="0.25">
      <c r="B64" s="369" t="s">
        <v>103</v>
      </c>
      <c r="C64" s="622"/>
      <c r="D64" s="622"/>
      <c r="E64" s="622"/>
      <c r="F64" s="622"/>
      <c r="G64" s="622"/>
      <c r="H64" s="622"/>
      <c r="I64" s="622"/>
      <c r="J64" s="622"/>
      <c r="K64" s="152"/>
      <c r="L64" s="151"/>
      <c r="M64" s="150"/>
      <c r="N64" s="151"/>
      <c r="O64" s="150"/>
      <c r="P64" s="151"/>
      <c r="Q64" s="150"/>
      <c r="R64" s="151"/>
      <c r="S64" s="628"/>
      <c r="T64" s="627"/>
      <c r="U64" s="628"/>
      <c r="V64" s="627"/>
      <c r="W64" s="628"/>
      <c r="X64" s="627"/>
      <c r="Y64" s="150"/>
      <c r="Z64" s="151"/>
      <c r="AA64" s="150"/>
      <c r="AB64" s="151"/>
      <c r="AC64" s="150"/>
      <c r="AD64" s="151"/>
      <c r="AE64" s="150"/>
      <c r="AF64" s="151"/>
      <c r="AG64" s="150"/>
      <c r="AH64" s="151"/>
      <c r="AI64" s="150"/>
      <c r="AJ64" s="151"/>
      <c r="AK64" s="150"/>
      <c r="AL64" s="151"/>
      <c r="AM64" s="150"/>
      <c r="AN64" s="151"/>
      <c r="AO64" s="150"/>
      <c r="AP64" s="151"/>
    </row>
    <row r="65" spans="1:42" x14ac:dyDescent="0.25">
      <c r="B65" s="369" t="s">
        <v>105</v>
      </c>
      <c r="C65" s="622"/>
      <c r="D65" s="622"/>
      <c r="E65" s="622"/>
      <c r="F65" s="622"/>
      <c r="G65" s="622"/>
      <c r="H65" s="622"/>
      <c r="I65" s="622"/>
      <c r="J65" s="622"/>
      <c r="K65" s="152"/>
      <c r="L65" s="151"/>
      <c r="M65" s="150"/>
      <c r="N65" s="151"/>
      <c r="O65" s="150"/>
      <c r="P65" s="151"/>
      <c r="Q65" s="150"/>
      <c r="R65" s="151"/>
      <c r="S65" s="628"/>
      <c r="T65" s="627"/>
      <c r="U65" s="628"/>
      <c r="V65" s="627"/>
      <c r="W65" s="150"/>
      <c r="X65" s="151"/>
      <c r="Y65" s="150"/>
      <c r="Z65" s="151"/>
      <c r="AA65" s="150"/>
      <c r="AB65" s="151"/>
      <c r="AC65" s="150"/>
      <c r="AD65" s="151"/>
      <c r="AE65" s="150"/>
      <c r="AF65" s="151"/>
      <c r="AG65" s="150"/>
      <c r="AH65" s="151"/>
      <c r="AI65" s="150"/>
      <c r="AJ65" s="151"/>
      <c r="AK65" s="150"/>
      <c r="AL65" s="151"/>
      <c r="AM65" s="150"/>
      <c r="AN65" s="151"/>
      <c r="AO65" s="150"/>
      <c r="AP65" s="151"/>
    </row>
    <row r="66" spans="1:42" x14ac:dyDescent="0.25">
      <c r="A66" s="626"/>
      <c r="B66" s="369" t="s">
        <v>112</v>
      </c>
      <c r="C66" s="622"/>
      <c r="D66" s="622"/>
      <c r="E66" s="622"/>
      <c r="F66" s="622"/>
      <c r="G66" s="622"/>
      <c r="H66" s="622"/>
      <c r="I66" s="622"/>
      <c r="J66" s="622"/>
      <c r="K66" s="152"/>
      <c r="L66" s="151"/>
      <c r="M66" s="150"/>
      <c r="N66" s="151"/>
      <c r="O66" s="150"/>
      <c r="P66" s="151"/>
      <c r="Q66" s="150"/>
      <c r="R66" s="151"/>
      <c r="S66" s="150"/>
      <c r="T66" s="151"/>
      <c r="U66" s="150"/>
      <c r="V66" s="151"/>
      <c r="W66" s="150"/>
      <c r="X66" s="151"/>
      <c r="Y66" s="150"/>
      <c r="Z66" s="151"/>
      <c r="AA66" s="150"/>
      <c r="AB66" s="151"/>
      <c r="AC66" s="150"/>
      <c r="AD66" s="151"/>
      <c r="AE66" s="150"/>
      <c r="AF66" s="151"/>
      <c r="AG66" s="150"/>
      <c r="AH66" s="151"/>
      <c r="AI66" s="150"/>
      <c r="AJ66" s="151"/>
      <c r="AK66" s="150"/>
      <c r="AL66" s="151"/>
      <c r="AM66" s="150"/>
      <c r="AN66" s="151"/>
      <c r="AO66" s="150"/>
      <c r="AP66" s="151"/>
    </row>
    <row r="67" spans="1:42" x14ac:dyDescent="0.25">
      <c r="B67" s="369" t="s">
        <v>113</v>
      </c>
      <c r="C67" s="622"/>
      <c r="D67" s="622"/>
      <c r="E67" s="622"/>
      <c r="F67" s="622"/>
      <c r="G67" s="622"/>
      <c r="H67" s="622"/>
      <c r="I67" s="622"/>
      <c r="J67" s="622"/>
      <c r="K67" s="619"/>
      <c r="L67" s="627"/>
      <c r="M67" s="628"/>
      <c r="N67" s="627"/>
      <c r="O67" s="628"/>
      <c r="P67" s="627"/>
      <c r="Q67" s="628"/>
      <c r="R67" s="627"/>
      <c r="S67" s="628"/>
      <c r="T67" s="627"/>
      <c r="U67" s="628"/>
      <c r="V67" s="627"/>
      <c r="W67" s="628"/>
      <c r="X67" s="627"/>
      <c r="Y67" s="628"/>
      <c r="Z67" s="627"/>
      <c r="AA67" s="628"/>
      <c r="AB67" s="627"/>
      <c r="AC67" s="628"/>
      <c r="AD67" s="627"/>
      <c r="AE67" s="628"/>
      <c r="AF67" s="627"/>
      <c r="AG67" s="628"/>
      <c r="AH67" s="627"/>
      <c r="AI67" s="628"/>
      <c r="AJ67" s="627"/>
      <c r="AK67" s="628"/>
      <c r="AL67" s="627"/>
      <c r="AM67" s="628"/>
      <c r="AN67" s="627"/>
      <c r="AO67" s="628"/>
      <c r="AP67" s="627"/>
    </row>
    <row r="68" spans="1:42" x14ac:dyDescent="0.25">
      <c r="B68" s="369" t="s">
        <v>114</v>
      </c>
      <c r="C68" s="622"/>
      <c r="D68" s="622"/>
      <c r="E68" s="622"/>
      <c r="F68" s="622"/>
      <c r="G68" s="622"/>
      <c r="H68" s="622"/>
      <c r="I68" s="622"/>
      <c r="J68" s="622"/>
      <c r="K68" s="619"/>
      <c r="L68" s="627"/>
      <c r="M68" s="628"/>
      <c r="N68" s="627"/>
      <c r="O68" s="628"/>
      <c r="P68" s="627"/>
      <c r="Q68" s="628"/>
      <c r="R68" s="627"/>
      <c r="S68" s="628"/>
      <c r="T68" s="627"/>
      <c r="U68" s="628"/>
      <c r="V68" s="627"/>
      <c r="W68" s="628"/>
      <c r="X68" s="627"/>
      <c r="Y68" s="628"/>
      <c r="Z68" s="627"/>
      <c r="AA68" s="628"/>
      <c r="AB68" s="627"/>
      <c r="AC68" s="628"/>
      <c r="AD68" s="627"/>
      <c r="AE68" s="628"/>
      <c r="AF68" s="627"/>
      <c r="AG68" s="628"/>
      <c r="AH68" s="627"/>
      <c r="AI68" s="628"/>
      <c r="AJ68" s="627"/>
      <c r="AK68" s="628"/>
      <c r="AL68" s="627"/>
      <c r="AM68" s="628"/>
      <c r="AN68" s="627"/>
      <c r="AO68" s="628"/>
      <c r="AP68" s="627"/>
    </row>
    <row r="69" spans="1:42" x14ac:dyDescent="0.25">
      <c r="B69" s="369" t="s">
        <v>116</v>
      </c>
      <c r="C69" s="622"/>
      <c r="D69" s="622"/>
      <c r="E69" s="622"/>
      <c r="F69" s="622"/>
      <c r="G69" s="622"/>
      <c r="H69" s="622"/>
      <c r="I69" s="622"/>
      <c r="J69" s="622"/>
      <c r="K69" s="619"/>
      <c r="L69" s="627"/>
      <c r="M69" s="628"/>
      <c r="N69" s="627"/>
      <c r="O69" s="628"/>
      <c r="P69" s="627"/>
      <c r="Q69" s="628"/>
      <c r="R69" s="627"/>
      <c r="S69" s="628"/>
      <c r="T69" s="627"/>
      <c r="U69" s="628"/>
      <c r="V69" s="627"/>
      <c r="W69" s="628"/>
      <c r="X69" s="627"/>
      <c r="Y69" s="628"/>
      <c r="Z69" s="627"/>
      <c r="AA69" s="628"/>
      <c r="AB69" s="627"/>
      <c r="AC69" s="628"/>
      <c r="AD69" s="627"/>
      <c r="AE69" s="628"/>
      <c r="AF69" s="627"/>
      <c r="AG69" s="628"/>
      <c r="AH69" s="627"/>
      <c r="AI69" s="628"/>
      <c r="AJ69" s="627"/>
      <c r="AK69" s="628"/>
      <c r="AL69" s="627"/>
      <c r="AM69" s="628"/>
      <c r="AN69" s="627"/>
      <c r="AO69" s="628"/>
      <c r="AP69" s="627"/>
    </row>
    <row r="70" spans="1:42" x14ac:dyDescent="0.25">
      <c r="B70" s="369" t="s">
        <v>812</v>
      </c>
      <c r="C70" s="622"/>
      <c r="D70" s="622"/>
      <c r="E70" s="622"/>
      <c r="F70" s="622"/>
      <c r="G70" s="622"/>
      <c r="H70" s="622"/>
      <c r="I70" s="622"/>
      <c r="J70" s="622"/>
      <c r="K70" s="619"/>
      <c r="L70" s="627"/>
      <c r="M70" s="628"/>
      <c r="N70" s="627"/>
      <c r="O70" s="628"/>
      <c r="P70" s="627"/>
      <c r="Q70" s="628"/>
      <c r="R70" s="627"/>
      <c r="S70" s="628"/>
      <c r="T70" s="627"/>
      <c r="U70" s="628"/>
      <c r="V70" s="627"/>
      <c r="W70" s="628"/>
      <c r="X70" s="627"/>
      <c r="Y70" s="628"/>
      <c r="Z70" s="627"/>
      <c r="AA70" s="628"/>
      <c r="AB70" s="627"/>
      <c r="AC70" s="628"/>
      <c r="AD70" s="627"/>
      <c r="AE70" s="628"/>
      <c r="AF70" s="627"/>
      <c r="AG70" s="628"/>
      <c r="AH70" s="627"/>
      <c r="AI70" s="628"/>
      <c r="AJ70" s="627"/>
      <c r="AK70" s="628"/>
      <c r="AL70" s="627"/>
      <c r="AM70" s="628"/>
      <c r="AN70" s="627"/>
      <c r="AO70" s="628"/>
      <c r="AP70" s="627"/>
    </row>
    <row r="71" spans="1:42" x14ac:dyDescent="0.25">
      <c r="B71" s="369" t="s">
        <v>811</v>
      </c>
      <c r="C71" s="622"/>
      <c r="D71" s="622"/>
      <c r="E71" s="622"/>
      <c r="F71" s="622"/>
      <c r="G71" s="622"/>
      <c r="H71" s="622"/>
      <c r="I71" s="622"/>
      <c r="J71" s="622"/>
      <c r="K71" s="619"/>
      <c r="L71" s="627"/>
      <c r="M71" s="628"/>
      <c r="N71" s="627"/>
      <c r="O71" s="628"/>
      <c r="P71" s="627"/>
      <c r="Q71" s="628"/>
      <c r="R71" s="627"/>
      <c r="S71" s="628"/>
      <c r="T71" s="627"/>
      <c r="U71" s="628"/>
      <c r="V71" s="627"/>
      <c r="W71" s="628"/>
      <c r="X71" s="627"/>
      <c r="Y71" s="628"/>
      <c r="Z71" s="627"/>
      <c r="AA71" s="628"/>
      <c r="AB71" s="627"/>
      <c r="AC71" s="628"/>
      <c r="AD71" s="627"/>
      <c r="AE71" s="628"/>
      <c r="AF71" s="627"/>
      <c r="AG71" s="628"/>
      <c r="AH71" s="627"/>
      <c r="AI71" s="628"/>
      <c r="AJ71" s="627"/>
      <c r="AK71" s="628"/>
      <c r="AL71" s="627"/>
      <c r="AM71" s="628"/>
      <c r="AN71" s="627"/>
      <c r="AO71" s="628"/>
      <c r="AP71" s="627"/>
    </row>
    <row r="72" spans="1:42" x14ac:dyDescent="0.25">
      <c r="B72" s="369" t="s">
        <v>810</v>
      </c>
      <c r="C72" s="622"/>
      <c r="D72" s="622"/>
      <c r="E72" s="622"/>
      <c r="F72" s="622"/>
      <c r="G72" s="622"/>
      <c r="H72" s="622"/>
      <c r="I72" s="622"/>
      <c r="J72" s="622"/>
      <c r="K72" s="152"/>
      <c r="L72" s="151"/>
      <c r="M72" s="150"/>
      <c r="N72" s="151"/>
      <c r="O72" s="150"/>
      <c r="P72" s="151"/>
      <c r="Q72" s="628"/>
      <c r="R72" s="627"/>
      <c r="S72" s="628"/>
      <c r="T72" s="627"/>
      <c r="U72" s="628"/>
      <c r="V72" s="627"/>
      <c r="W72" s="628"/>
      <c r="X72" s="627"/>
      <c r="Y72" s="628"/>
      <c r="Z72" s="627"/>
      <c r="AA72" s="628"/>
      <c r="AB72" s="627"/>
      <c r="AC72" s="628"/>
      <c r="AD72" s="627"/>
      <c r="AE72" s="628"/>
      <c r="AF72" s="627"/>
      <c r="AG72" s="628"/>
      <c r="AH72" s="627"/>
      <c r="AI72" s="628"/>
      <c r="AJ72" s="627"/>
      <c r="AK72" s="628"/>
      <c r="AL72" s="627"/>
      <c r="AM72" s="628"/>
      <c r="AN72" s="627"/>
      <c r="AO72" s="628"/>
      <c r="AP72" s="627"/>
    </row>
    <row r="73" spans="1:42" x14ac:dyDescent="0.25">
      <c r="B73" s="369" t="s">
        <v>809</v>
      </c>
      <c r="C73" s="622"/>
      <c r="D73" s="622"/>
      <c r="E73" s="622"/>
      <c r="F73" s="622"/>
      <c r="G73" s="622"/>
      <c r="H73" s="622"/>
      <c r="I73" s="622"/>
      <c r="J73" s="622"/>
      <c r="K73" s="152"/>
      <c r="L73" s="151"/>
      <c r="M73" s="150"/>
      <c r="N73" s="151"/>
      <c r="O73" s="150"/>
      <c r="P73" s="151"/>
      <c r="Q73" s="628"/>
      <c r="R73" s="627"/>
      <c r="S73" s="628"/>
      <c r="T73" s="627"/>
      <c r="U73" s="628"/>
      <c r="V73" s="627"/>
      <c r="W73" s="628"/>
      <c r="X73" s="627"/>
      <c r="Y73" s="628"/>
      <c r="Z73" s="627"/>
      <c r="AA73" s="628"/>
      <c r="AB73" s="627"/>
      <c r="AC73" s="628"/>
      <c r="AD73" s="627"/>
      <c r="AE73" s="628"/>
      <c r="AF73" s="627"/>
      <c r="AG73" s="628"/>
      <c r="AH73" s="627"/>
      <c r="AI73" s="628"/>
      <c r="AJ73" s="627"/>
      <c r="AK73" s="628"/>
      <c r="AL73" s="627"/>
      <c r="AM73" s="628"/>
      <c r="AN73" s="627"/>
      <c r="AO73" s="628"/>
      <c r="AP73" s="627"/>
    </row>
    <row r="74" spans="1:42" x14ac:dyDescent="0.25">
      <c r="B74" s="369" t="s">
        <v>808</v>
      </c>
      <c r="C74" s="625"/>
      <c r="D74" s="625"/>
      <c r="E74" s="625"/>
      <c r="F74" s="625"/>
      <c r="G74" s="625"/>
      <c r="H74" s="625"/>
      <c r="I74" s="625"/>
      <c r="J74" s="625"/>
      <c r="K74" s="619"/>
      <c r="L74" s="627"/>
      <c r="M74" s="628"/>
      <c r="N74" s="627"/>
      <c r="O74" s="628"/>
      <c r="P74" s="627"/>
      <c r="Q74" s="628"/>
      <c r="R74" s="627"/>
      <c r="S74" s="150"/>
      <c r="T74" s="151"/>
      <c r="U74" s="150"/>
      <c r="V74" s="151"/>
      <c r="W74" s="150"/>
      <c r="X74" s="151"/>
      <c r="Y74" s="150"/>
      <c r="Z74" s="151"/>
      <c r="AA74" s="150"/>
      <c r="AB74" s="151"/>
      <c r="AC74" s="150"/>
      <c r="AD74" s="151"/>
      <c r="AE74" s="150"/>
      <c r="AF74" s="151"/>
      <c r="AG74" s="150"/>
      <c r="AH74" s="151"/>
      <c r="AI74" s="150"/>
      <c r="AJ74" s="151"/>
      <c r="AK74" s="150"/>
      <c r="AL74" s="151"/>
      <c r="AM74" s="150"/>
      <c r="AN74" s="151"/>
      <c r="AO74" s="150"/>
      <c r="AP74" s="151"/>
    </row>
    <row r="75" spans="1:42" x14ac:dyDescent="0.25">
      <c r="B75" s="369" t="s">
        <v>807</v>
      </c>
      <c r="C75" s="622"/>
      <c r="D75" s="622"/>
      <c r="E75" s="622"/>
      <c r="F75" s="622"/>
      <c r="G75" s="622"/>
      <c r="H75" s="622"/>
      <c r="I75" s="622"/>
      <c r="J75" s="622"/>
      <c r="K75" s="152"/>
      <c r="L75" s="151"/>
      <c r="M75" s="628"/>
      <c r="N75" s="627"/>
      <c r="O75" s="628"/>
      <c r="P75" s="627"/>
      <c r="Q75" s="628"/>
      <c r="R75" s="627"/>
      <c r="S75" s="628"/>
      <c r="T75" s="627"/>
      <c r="U75" s="628"/>
      <c r="V75" s="627"/>
      <c r="W75" s="628"/>
      <c r="X75" s="627"/>
      <c r="Y75" s="628"/>
      <c r="Z75" s="627"/>
      <c r="AA75" s="628"/>
      <c r="AB75" s="627"/>
      <c r="AC75" s="628"/>
      <c r="AD75" s="627"/>
      <c r="AE75" s="628"/>
      <c r="AF75" s="627"/>
      <c r="AG75" s="628"/>
      <c r="AH75" s="627"/>
      <c r="AI75" s="628"/>
      <c r="AJ75" s="627"/>
      <c r="AK75" s="628"/>
      <c r="AL75" s="627"/>
      <c r="AM75" s="628"/>
      <c r="AN75" s="627"/>
      <c r="AO75" s="628"/>
      <c r="AP75" s="627"/>
    </row>
    <row r="76" spans="1:42" x14ac:dyDescent="0.25">
      <c r="B76" s="369" t="s">
        <v>806</v>
      </c>
      <c r="C76" s="622"/>
      <c r="D76" s="622"/>
      <c r="E76" s="622"/>
      <c r="F76" s="622"/>
      <c r="G76" s="622"/>
      <c r="H76" s="622"/>
      <c r="I76" s="622"/>
      <c r="J76" s="622"/>
      <c r="K76" s="152"/>
      <c r="L76" s="151"/>
      <c r="M76" s="150"/>
      <c r="N76" s="151"/>
      <c r="O76" s="150"/>
      <c r="P76" s="151"/>
      <c r="Q76" s="150"/>
      <c r="R76" s="151"/>
      <c r="S76" s="628"/>
      <c r="T76" s="627"/>
      <c r="U76" s="628"/>
      <c r="V76" s="627"/>
      <c r="W76" s="628"/>
      <c r="X76" s="627"/>
      <c r="Y76" s="628"/>
      <c r="Z76" s="627"/>
      <c r="AA76" s="628"/>
      <c r="AB76" s="627"/>
      <c r="AC76" s="628"/>
      <c r="AD76" s="627"/>
      <c r="AE76" s="628"/>
      <c r="AF76" s="627"/>
      <c r="AG76" s="628"/>
      <c r="AH76" s="627"/>
      <c r="AI76" s="628"/>
      <c r="AJ76" s="627"/>
      <c r="AK76" s="628"/>
      <c r="AL76" s="627"/>
      <c r="AM76" s="628"/>
      <c r="AN76" s="627"/>
      <c r="AO76" s="628"/>
      <c r="AP76" s="627"/>
    </row>
    <row r="77" spans="1:42" x14ac:dyDescent="0.25">
      <c r="B77" s="369" t="s">
        <v>906</v>
      </c>
      <c r="C77" s="622"/>
      <c r="D77" s="622"/>
      <c r="E77" s="622"/>
      <c r="F77" s="622"/>
      <c r="G77" s="622"/>
      <c r="H77" s="622"/>
      <c r="I77" s="622"/>
      <c r="J77" s="622"/>
      <c r="K77" s="152"/>
      <c r="L77" s="151"/>
      <c r="M77" s="150"/>
      <c r="N77" s="151"/>
      <c r="O77" s="150"/>
      <c r="P77" s="151"/>
      <c r="Q77" s="628"/>
      <c r="R77" s="627"/>
      <c r="S77" s="628"/>
      <c r="T77" s="627"/>
      <c r="U77" s="628"/>
      <c r="V77" s="627"/>
      <c r="W77" s="628"/>
      <c r="X77" s="627"/>
      <c r="Y77" s="628"/>
      <c r="Z77" s="627"/>
      <c r="AA77" s="628"/>
      <c r="AB77" s="627"/>
      <c r="AC77" s="628"/>
      <c r="AD77" s="627"/>
      <c r="AE77" s="628"/>
      <c r="AF77" s="627"/>
      <c r="AG77" s="628"/>
      <c r="AH77" s="627"/>
      <c r="AI77" s="628"/>
      <c r="AJ77" s="627"/>
      <c r="AK77" s="628"/>
      <c r="AL77" s="627"/>
      <c r="AM77" s="628"/>
      <c r="AN77" s="627"/>
      <c r="AO77" s="628"/>
      <c r="AP77" s="627"/>
    </row>
    <row r="78" spans="1:42" x14ac:dyDescent="0.25">
      <c r="B78" s="369" t="s">
        <v>923</v>
      </c>
      <c r="C78" s="622"/>
      <c r="D78" s="622"/>
      <c r="E78" s="622"/>
      <c r="F78" s="622"/>
      <c r="G78" s="622"/>
      <c r="H78" s="622"/>
      <c r="I78" s="622"/>
      <c r="J78" s="622"/>
      <c r="K78" s="152"/>
      <c r="L78" s="151"/>
      <c r="M78" s="150"/>
      <c r="N78" s="151"/>
      <c r="O78" s="150"/>
      <c r="P78" s="151"/>
      <c r="Q78" s="628"/>
      <c r="R78" s="627"/>
      <c r="S78" s="628"/>
      <c r="T78" s="627"/>
      <c r="U78" s="628"/>
      <c r="V78" s="627"/>
      <c r="W78" s="628"/>
      <c r="X78" s="627"/>
      <c r="Y78" s="628"/>
      <c r="Z78" s="627"/>
      <c r="AA78" s="628"/>
      <c r="AB78" s="627"/>
      <c r="AC78" s="628"/>
      <c r="AD78" s="627"/>
      <c r="AE78" s="628"/>
      <c r="AF78" s="627"/>
      <c r="AG78" s="628"/>
      <c r="AH78" s="627"/>
      <c r="AI78" s="628"/>
      <c r="AJ78" s="627"/>
      <c r="AK78" s="628"/>
      <c r="AL78" s="627"/>
      <c r="AM78" s="628"/>
      <c r="AN78" s="627"/>
      <c r="AO78" s="628"/>
      <c r="AP78" s="627"/>
    </row>
    <row r="79" spans="1:42" x14ac:dyDescent="0.25">
      <c r="B79" s="369" t="s">
        <v>922</v>
      </c>
      <c r="C79" s="622"/>
      <c r="D79" s="622"/>
      <c r="E79" s="622"/>
      <c r="F79" s="622"/>
      <c r="G79" s="622"/>
      <c r="H79" s="622"/>
      <c r="I79" s="622"/>
      <c r="J79" s="622"/>
      <c r="K79" s="152"/>
      <c r="L79" s="151"/>
      <c r="M79" s="150"/>
      <c r="N79" s="151"/>
      <c r="O79" s="150"/>
      <c r="P79" s="151"/>
      <c r="Q79" s="150"/>
      <c r="R79" s="151"/>
      <c r="S79" s="150"/>
      <c r="T79" s="151"/>
      <c r="U79" s="628"/>
      <c r="V79" s="627"/>
      <c r="W79" s="628"/>
      <c r="X79" s="627"/>
      <c r="Y79" s="628"/>
      <c r="Z79" s="627"/>
      <c r="AA79" s="628"/>
      <c r="AB79" s="627"/>
      <c r="AC79" s="628"/>
      <c r="AD79" s="627"/>
      <c r="AE79" s="628"/>
      <c r="AF79" s="627"/>
      <c r="AG79" s="628"/>
      <c r="AH79" s="627"/>
      <c r="AI79" s="628"/>
      <c r="AJ79" s="627"/>
      <c r="AK79" s="628"/>
      <c r="AL79" s="627"/>
      <c r="AM79" s="628"/>
      <c r="AN79" s="627"/>
      <c r="AO79" s="628"/>
      <c r="AP79" s="627"/>
    </row>
    <row r="80" spans="1:42" x14ac:dyDescent="0.25">
      <c r="B80" s="369" t="s">
        <v>921</v>
      </c>
      <c r="C80" s="622"/>
      <c r="D80" s="622"/>
      <c r="E80" s="622"/>
      <c r="F80" s="622"/>
      <c r="G80" s="622"/>
      <c r="H80" s="622"/>
      <c r="I80" s="622"/>
      <c r="J80" s="622"/>
      <c r="K80" s="152"/>
      <c r="L80" s="151"/>
      <c r="M80" s="150"/>
      <c r="N80" s="151"/>
      <c r="O80" s="150"/>
      <c r="P80" s="151"/>
      <c r="Q80" s="150"/>
      <c r="R80" s="151"/>
      <c r="S80" s="150"/>
      <c r="T80" s="151"/>
      <c r="U80" s="150"/>
      <c r="V80" s="151"/>
      <c r="W80" s="150"/>
      <c r="X80" s="151"/>
      <c r="Y80" s="628"/>
      <c r="Z80" s="627"/>
      <c r="AA80" s="150"/>
      <c r="AB80" s="151"/>
      <c r="AC80" s="150"/>
      <c r="AD80" s="151"/>
      <c r="AE80" s="150"/>
      <c r="AF80" s="151"/>
      <c r="AG80" s="150"/>
      <c r="AH80" s="151"/>
      <c r="AI80" s="150"/>
      <c r="AJ80" s="151"/>
      <c r="AK80" s="150"/>
      <c r="AL80" s="151"/>
      <c r="AM80" s="150"/>
      <c r="AN80" s="151"/>
      <c r="AO80" s="150"/>
      <c r="AP80" s="151"/>
    </row>
    <row r="81" spans="1:42" x14ac:dyDescent="0.25">
      <c r="B81" s="369" t="s">
        <v>251</v>
      </c>
      <c r="C81" s="622"/>
      <c r="D81" s="622"/>
      <c r="E81" s="622"/>
      <c r="F81" s="622"/>
      <c r="G81" s="622"/>
      <c r="H81" s="622"/>
      <c r="I81" s="622"/>
      <c r="J81" s="622"/>
      <c r="K81" s="152"/>
      <c r="L81" s="151"/>
      <c r="M81" s="150"/>
      <c r="N81" s="151"/>
      <c r="O81" s="150"/>
      <c r="P81" s="151"/>
      <c r="Q81" s="150"/>
      <c r="R81" s="151"/>
      <c r="S81" s="628"/>
      <c r="T81" s="627"/>
      <c r="U81" s="628"/>
      <c r="V81" s="627"/>
      <c r="W81" s="628"/>
      <c r="X81" s="627"/>
      <c r="Y81" s="628"/>
      <c r="Z81" s="627"/>
      <c r="AA81" s="628"/>
      <c r="AB81" s="627"/>
      <c r="AC81" s="628"/>
      <c r="AD81" s="627"/>
      <c r="AE81" s="628"/>
      <c r="AF81" s="627"/>
      <c r="AG81" s="628"/>
      <c r="AH81" s="627"/>
      <c r="AI81" s="628"/>
      <c r="AJ81" s="627"/>
      <c r="AK81" s="628"/>
      <c r="AL81" s="627"/>
      <c r="AM81" s="628"/>
      <c r="AN81" s="627"/>
      <c r="AO81" s="628"/>
      <c r="AP81" s="627"/>
    </row>
    <row r="82" spans="1:42" x14ac:dyDescent="0.25">
      <c r="B82" s="369" t="s">
        <v>1038</v>
      </c>
      <c r="C82" s="622"/>
      <c r="D82" s="622"/>
      <c r="E82" s="622"/>
      <c r="F82" s="622"/>
      <c r="G82" s="622"/>
      <c r="H82" s="622"/>
      <c r="I82" s="622"/>
      <c r="J82" s="622"/>
      <c r="K82" s="152"/>
      <c r="L82" s="151"/>
      <c r="M82" s="150"/>
      <c r="N82" s="151"/>
      <c r="O82" s="150"/>
      <c r="P82" s="151"/>
      <c r="Q82" s="150"/>
      <c r="R82" s="151"/>
      <c r="S82" s="150"/>
      <c r="T82" s="151"/>
      <c r="U82" s="628"/>
      <c r="V82" s="627"/>
      <c r="W82" s="628"/>
      <c r="X82" s="627"/>
      <c r="Y82" s="628"/>
      <c r="Z82" s="627"/>
      <c r="AA82" s="628"/>
      <c r="AB82" s="627"/>
      <c r="AC82" s="628"/>
      <c r="AD82" s="627"/>
      <c r="AE82" s="628"/>
      <c r="AF82" s="627"/>
      <c r="AG82" s="628"/>
      <c r="AH82" s="627"/>
      <c r="AI82" s="628"/>
      <c r="AJ82" s="627"/>
      <c r="AK82" s="628"/>
      <c r="AL82" s="627"/>
      <c r="AM82" s="628"/>
      <c r="AN82" s="627"/>
      <c r="AO82" s="628"/>
      <c r="AP82" s="627"/>
    </row>
    <row r="83" spans="1:42" x14ac:dyDescent="0.25">
      <c r="B83" s="369" t="s">
        <v>1039</v>
      </c>
      <c r="C83" s="622"/>
      <c r="D83" s="622"/>
      <c r="E83" s="622"/>
      <c r="F83" s="622"/>
      <c r="G83" s="622"/>
      <c r="H83" s="622"/>
      <c r="I83" s="622"/>
      <c r="J83" s="622"/>
      <c r="K83" s="152"/>
      <c r="L83" s="151"/>
      <c r="M83" s="628"/>
      <c r="N83" s="627"/>
      <c r="O83" s="628"/>
      <c r="P83" s="627"/>
      <c r="Q83" s="628"/>
      <c r="R83" s="627"/>
      <c r="S83" s="628"/>
      <c r="T83" s="627"/>
      <c r="U83" s="628"/>
      <c r="V83" s="627"/>
      <c r="W83" s="628"/>
      <c r="X83" s="627"/>
      <c r="Y83" s="628"/>
      <c r="Z83" s="627"/>
      <c r="AA83" s="628"/>
      <c r="AB83" s="627"/>
      <c r="AC83" s="628"/>
      <c r="AD83" s="627"/>
      <c r="AE83" s="628"/>
      <c r="AF83" s="627"/>
      <c r="AG83" s="628"/>
      <c r="AH83" s="627"/>
      <c r="AI83" s="628"/>
      <c r="AJ83" s="627"/>
      <c r="AK83" s="628"/>
      <c r="AL83" s="627"/>
      <c r="AM83" s="628"/>
      <c r="AN83" s="627"/>
      <c r="AO83" s="628"/>
      <c r="AP83" s="627"/>
    </row>
    <row r="84" spans="1:42" x14ac:dyDescent="0.25">
      <c r="B84" s="369" t="s">
        <v>1040</v>
      </c>
      <c r="C84" s="622"/>
      <c r="D84" s="622"/>
      <c r="E84" s="622"/>
      <c r="F84" s="622"/>
      <c r="G84" s="622"/>
      <c r="H84" s="622"/>
      <c r="I84" s="622"/>
      <c r="J84" s="622"/>
      <c r="K84" s="152"/>
      <c r="L84" s="151"/>
      <c r="M84" s="150"/>
      <c r="N84" s="151"/>
      <c r="O84" s="150"/>
      <c r="P84" s="151"/>
      <c r="Q84" s="150"/>
      <c r="R84" s="151"/>
      <c r="S84" s="150"/>
      <c r="T84" s="151"/>
      <c r="U84" s="628"/>
      <c r="V84" s="627"/>
      <c r="W84" s="628"/>
      <c r="X84" s="627"/>
      <c r="Y84" s="628"/>
      <c r="Z84" s="627"/>
      <c r="AA84" s="628"/>
      <c r="AB84" s="627"/>
      <c r="AC84" s="628"/>
      <c r="AD84" s="627"/>
      <c r="AE84" s="628"/>
      <c r="AF84" s="627"/>
      <c r="AG84" s="628"/>
      <c r="AH84" s="627"/>
      <c r="AI84" s="628"/>
      <c r="AJ84" s="627"/>
      <c r="AK84" s="628"/>
      <c r="AL84" s="627"/>
      <c r="AM84" s="628"/>
      <c r="AN84" s="627"/>
      <c r="AO84" s="628"/>
      <c r="AP84" s="627"/>
    </row>
    <row r="85" spans="1:42" x14ac:dyDescent="0.25">
      <c r="B85" s="369" t="s">
        <v>1041</v>
      </c>
      <c r="C85" s="622"/>
      <c r="D85" s="622"/>
      <c r="E85" s="622"/>
      <c r="F85" s="622"/>
      <c r="G85" s="622"/>
      <c r="H85" s="622"/>
      <c r="I85" s="622"/>
      <c r="J85" s="622"/>
      <c r="K85" s="152"/>
      <c r="L85" s="151"/>
      <c r="M85" s="628"/>
      <c r="N85" s="627"/>
      <c r="O85" s="628"/>
      <c r="P85" s="627"/>
      <c r="Q85" s="628"/>
      <c r="R85" s="627"/>
      <c r="S85" s="628"/>
      <c r="T85" s="627"/>
      <c r="U85" s="628"/>
      <c r="V85" s="627"/>
      <c r="W85" s="628"/>
      <c r="X85" s="627"/>
      <c r="Y85" s="628"/>
      <c r="Z85" s="627"/>
      <c r="AA85" s="628"/>
      <c r="AB85" s="627"/>
      <c r="AC85" s="628"/>
      <c r="AD85" s="627"/>
      <c r="AE85" s="628"/>
      <c r="AF85" s="627"/>
      <c r="AG85" s="628"/>
      <c r="AH85" s="627"/>
      <c r="AI85" s="628"/>
      <c r="AJ85" s="627"/>
      <c r="AK85" s="628"/>
      <c r="AL85" s="627"/>
      <c r="AM85" s="628"/>
      <c r="AN85" s="627"/>
      <c r="AO85" s="628"/>
      <c r="AP85" s="627"/>
    </row>
    <row r="86" spans="1:42" x14ac:dyDescent="0.25">
      <c r="B86" s="369" t="s">
        <v>805</v>
      </c>
      <c r="C86" s="625"/>
      <c r="D86" s="625"/>
      <c r="E86" s="625"/>
      <c r="F86" s="625"/>
      <c r="G86" s="625"/>
      <c r="H86" s="625"/>
      <c r="I86" s="625"/>
      <c r="J86" s="625"/>
      <c r="K86" s="619"/>
      <c r="L86" s="627"/>
      <c r="M86" s="628"/>
      <c r="N86" s="627"/>
      <c r="O86" s="628"/>
      <c r="P86" s="627"/>
      <c r="Q86" s="150"/>
      <c r="R86" s="151"/>
      <c r="S86" s="150"/>
      <c r="T86" s="151"/>
      <c r="U86" s="150"/>
      <c r="V86" s="151"/>
      <c r="W86" s="150"/>
      <c r="X86" s="151"/>
      <c r="Y86" s="150"/>
      <c r="Z86" s="151"/>
      <c r="AA86" s="150"/>
      <c r="AB86" s="151"/>
      <c r="AC86" s="150"/>
      <c r="AD86" s="151"/>
      <c r="AE86" s="150"/>
      <c r="AF86" s="151"/>
      <c r="AG86" s="150"/>
      <c r="AH86" s="151"/>
      <c r="AI86" s="150"/>
      <c r="AJ86" s="151"/>
      <c r="AK86" s="150"/>
      <c r="AL86" s="151"/>
      <c r="AM86" s="150"/>
      <c r="AN86" s="151"/>
      <c r="AO86" s="150"/>
      <c r="AP86" s="151"/>
    </row>
    <row r="87" spans="1:42" x14ac:dyDescent="0.25">
      <c r="B87" s="369" t="s">
        <v>804</v>
      </c>
      <c r="C87" s="625"/>
      <c r="D87" s="625"/>
      <c r="E87" s="625"/>
      <c r="F87" s="625"/>
      <c r="G87" s="625"/>
      <c r="H87" s="625"/>
      <c r="I87" s="625"/>
      <c r="J87" s="625"/>
      <c r="K87" s="619"/>
      <c r="L87" s="627"/>
      <c r="M87" s="628"/>
      <c r="N87" s="627"/>
      <c r="O87" s="150"/>
      <c r="P87" s="151"/>
      <c r="Q87" s="150"/>
      <c r="R87" s="151"/>
      <c r="S87" s="150"/>
      <c r="T87" s="151"/>
      <c r="U87" s="150"/>
      <c r="V87" s="151"/>
      <c r="W87" s="150"/>
      <c r="X87" s="151"/>
      <c r="Y87" s="150"/>
      <c r="Z87" s="151"/>
      <c r="AA87" s="150"/>
      <c r="AB87" s="151"/>
      <c r="AC87" s="150"/>
      <c r="AD87" s="151"/>
      <c r="AE87" s="150"/>
      <c r="AF87" s="151"/>
      <c r="AG87" s="150"/>
      <c r="AH87" s="151"/>
      <c r="AI87" s="150"/>
      <c r="AJ87" s="151"/>
      <c r="AK87" s="150"/>
      <c r="AL87" s="151"/>
      <c r="AM87" s="150"/>
      <c r="AN87" s="151"/>
      <c r="AO87" s="150"/>
      <c r="AP87" s="151"/>
    </row>
    <row r="88" spans="1:42" x14ac:dyDescent="0.25">
      <c r="B88" s="369" t="s">
        <v>803</v>
      </c>
      <c r="C88" s="622"/>
      <c r="D88" s="622"/>
      <c r="E88" s="622"/>
      <c r="F88" s="622"/>
      <c r="G88" s="622"/>
      <c r="H88" s="622"/>
      <c r="I88" s="622"/>
      <c r="J88" s="622"/>
      <c r="K88" s="152"/>
      <c r="L88" s="151"/>
      <c r="M88" s="150"/>
      <c r="N88" s="151"/>
      <c r="O88" s="150"/>
      <c r="P88" s="151"/>
      <c r="Q88" s="628"/>
      <c r="R88" s="627"/>
      <c r="S88" s="628"/>
      <c r="T88" s="627"/>
      <c r="U88" s="628"/>
      <c r="V88" s="627"/>
      <c r="W88" s="628"/>
      <c r="X88" s="627"/>
      <c r="Y88" s="628"/>
      <c r="Z88" s="627"/>
      <c r="AA88" s="628"/>
      <c r="AB88" s="627"/>
      <c r="AC88" s="628"/>
      <c r="AD88" s="627"/>
      <c r="AE88" s="628"/>
      <c r="AF88" s="627"/>
      <c r="AG88" s="628"/>
      <c r="AH88" s="627"/>
      <c r="AI88" s="628"/>
      <c r="AJ88" s="627"/>
      <c r="AK88" s="628"/>
      <c r="AL88" s="627"/>
      <c r="AM88" s="628"/>
      <c r="AN88" s="627"/>
      <c r="AO88" s="628"/>
      <c r="AP88" s="627"/>
    </row>
    <row r="89" spans="1:42" x14ac:dyDescent="0.25">
      <c r="B89" s="369" t="s">
        <v>802</v>
      </c>
      <c r="C89" s="622"/>
      <c r="D89" s="622"/>
      <c r="E89" s="622"/>
      <c r="F89" s="622"/>
      <c r="G89" s="622"/>
      <c r="H89" s="622"/>
      <c r="I89" s="622"/>
      <c r="J89" s="622"/>
      <c r="K89" s="152"/>
      <c r="L89" s="151"/>
      <c r="M89" s="150"/>
      <c r="N89" s="151"/>
      <c r="O89" s="150"/>
      <c r="P89" s="151"/>
      <c r="Q89" s="150"/>
      <c r="R89" s="151"/>
      <c r="S89" s="628"/>
      <c r="T89" s="627"/>
      <c r="U89" s="628"/>
      <c r="V89" s="627"/>
      <c r="W89" s="628"/>
      <c r="X89" s="627"/>
      <c r="Y89" s="628"/>
      <c r="Z89" s="627"/>
      <c r="AA89" s="628"/>
      <c r="AB89" s="627"/>
      <c r="AC89" s="628"/>
      <c r="AD89" s="627"/>
      <c r="AE89" s="628"/>
      <c r="AF89" s="627"/>
      <c r="AG89" s="628"/>
      <c r="AH89" s="627"/>
      <c r="AI89" s="628"/>
      <c r="AJ89" s="627"/>
      <c r="AK89" s="628"/>
      <c r="AL89" s="627"/>
      <c r="AM89" s="628"/>
      <c r="AN89" s="627"/>
      <c r="AO89" s="628"/>
      <c r="AP89" s="627"/>
    </row>
    <row r="90" spans="1:42" x14ac:dyDescent="0.25">
      <c r="B90" s="369" t="s">
        <v>801</v>
      </c>
      <c r="C90" s="622"/>
      <c r="D90" s="622"/>
      <c r="E90" s="622"/>
      <c r="F90" s="622"/>
      <c r="G90" s="622"/>
      <c r="H90" s="622"/>
      <c r="I90" s="622"/>
      <c r="J90" s="622"/>
      <c r="K90" s="152"/>
      <c r="L90" s="151"/>
      <c r="M90" s="150"/>
      <c r="N90" s="151"/>
      <c r="O90" s="150"/>
      <c r="P90" s="151"/>
      <c r="Q90" s="628"/>
      <c r="R90" s="627"/>
      <c r="S90" s="628"/>
      <c r="T90" s="627"/>
      <c r="U90" s="628"/>
      <c r="V90" s="627"/>
      <c r="W90" s="628"/>
      <c r="X90" s="627"/>
      <c r="Y90" s="628"/>
      <c r="Z90" s="627"/>
      <c r="AA90" s="628"/>
      <c r="AB90" s="627"/>
      <c r="AC90" s="628"/>
      <c r="AD90" s="627"/>
      <c r="AE90" s="628"/>
      <c r="AF90" s="627"/>
      <c r="AG90" s="628"/>
      <c r="AH90" s="627"/>
      <c r="AI90" s="628"/>
      <c r="AJ90" s="627"/>
      <c r="AK90" s="628"/>
      <c r="AL90" s="627"/>
      <c r="AM90" s="628"/>
      <c r="AN90" s="627"/>
      <c r="AO90" s="628"/>
      <c r="AP90" s="627"/>
    </row>
    <row r="91" spans="1:42" x14ac:dyDescent="0.25">
      <c r="B91" s="369" t="s">
        <v>800</v>
      </c>
      <c r="C91" s="622"/>
      <c r="D91" s="622"/>
      <c r="E91" s="622"/>
      <c r="F91" s="622"/>
      <c r="G91" s="622"/>
      <c r="H91" s="622"/>
      <c r="I91" s="622"/>
      <c r="J91" s="622"/>
      <c r="K91" s="152"/>
      <c r="L91" s="151"/>
      <c r="M91" s="150"/>
      <c r="N91" s="151"/>
      <c r="O91" s="150"/>
      <c r="P91" s="151"/>
      <c r="Q91" s="628"/>
      <c r="R91" s="627"/>
      <c r="S91" s="628"/>
      <c r="T91" s="627"/>
      <c r="U91" s="628"/>
      <c r="V91" s="627"/>
      <c r="W91" s="628"/>
      <c r="X91" s="627"/>
      <c r="Y91" s="628"/>
      <c r="Z91" s="627"/>
      <c r="AA91" s="628"/>
      <c r="AB91" s="627"/>
      <c r="AC91" s="628"/>
      <c r="AD91" s="627"/>
      <c r="AE91" s="628"/>
      <c r="AF91" s="627"/>
      <c r="AG91" s="628"/>
      <c r="AH91" s="627"/>
      <c r="AI91" s="628"/>
      <c r="AJ91" s="627"/>
      <c r="AK91" s="628"/>
      <c r="AL91" s="627"/>
      <c r="AM91" s="628"/>
      <c r="AN91" s="627"/>
      <c r="AO91" s="628"/>
      <c r="AP91" s="627"/>
    </row>
    <row r="92" spans="1:42" x14ac:dyDescent="0.25">
      <c r="B92" s="369" t="s">
        <v>799</v>
      </c>
      <c r="C92" s="622"/>
      <c r="D92" s="622"/>
      <c r="E92" s="622"/>
      <c r="F92" s="622"/>
      <c r="G92" s="622"/>
      <c r="H92" s="622"/>
      <c r="I92" s="622"/>
      <c r="J92" s="622"/>
      <c r="K92" s="152"/>
      <c r="L92" s="151"/>
      <c r="M92" s="150"/>
      <c r="N92" s="151"/>
      <c r="O92" s="150"/>
      <c r="P92" s="151"/>
      <c r="Q92" s="628"/>
      <c r="R92" s="627"/>
      <c r="S92" s="628"/>
      <c r="T92" s="627"/>
      <c r="U92" s="628"/>
      <c r="V92" s="627"/>
      <c r="W92" s="628"/>
      <c r="X92" s="627"/>
      <c r="Y92" s="628"/>
      <c r="Z92" s="627"/>
      <c r="AA92" s="628"/>
      <c r="AB92" s="627"/>
      <c r="AC92" s="628"/>
      <c r="AD92" s="627"/>
      <c r="AE92" s="628"/>
      <c r="AF92" s="627"/>
      <c r="AG92" s="628"/>
      <c r="AH92" s="627"/>
      <c r="AI92" s="628"/>
      <c r="AJ92" s="627"/>
      <c r="AK92" s="628"/>
      <c r="AL92" s="627"/>
      <c r="AM92" s="628"/>
      <c r="AN92" s="627"/>
      <c r="AO92" s="628"/>
      <c r="AP92" s="627"/>
    </row>
    <row r="93" spans="1:42" x14ac:dyDescent="0.25">
      <c r="A93" s="626"/>
      <c r="B93" s="369" t="s">
        <v>844</v>
      </c>
      <c r="C93" s="622"/>
      <c r="D93" s="622"/>
      <c r="E93" s="622"/>
      <c r="F93" s="622"/>
      <c r="G93" s="622"/>
      <c r="H93" s="622"/>
      <c r="I93" s="622"/>
      <c r="J93" s="622"/>
      <c r="K93" s="152"/>
      <c r="L93" s="151"/>
      <c r="M93" s="150"/>
      <c r="N93" s="151"/>
      <c r="O93" s="628"/>
      <c r="P93" s="627"/>
      <c r="Q93" s="150"/>
      <c r="R93" s="151"/>
      <c r="S93" s="150"/>
      <c r="T93" s="151"/>
      <c r="U93" s="150"/>
      <c r="V93" s="151"/>
      <c r="W93" s="150"/>
      <c r="X93" s="151"/>
      <c r="Y93" s="150"/>
      <c r="Z93" s="151"/>
      <c r="AA93" s="150"/>
      <c r="AB93" s="151"/>
      <c r="AC93" s="150"/>
      <c r="AD93" s="151"/>
      <c r="AE93" s="150"/>
      <c r="AF93" s="151"/>
      <c r="AG93" s="150"/>
      <c r="AH93" s="151"/>
      <c r="AI93" s="150"/>
      <c r="AJ93" s="151"/>
      <c r="AK93" s="150"/>
      <c r="AL93" s="151"/>
      <c r="AM93" s="150"/>
      <c r="AN93" s="151"/>
      <c r="AO93" s="150"/>
      <c r="AP93" s="151"/>
    </row>
    <row r="94" spans="1:42" x14ac:dyDescent="0.25">
      <c r="B94" s="369" t="s">
        <v>798</v>
      </c>
      <c r="C94" s="622"/>
      <c r="D94" s="622"/>
      <c r="E94" s="622"/>
      <c r="F94" s="622"/>
      <c r="G94" s="622"/>
      <c r="H94" s="622"/>
      <c r="I94" s="622"/>
      <c r="J94" s="625"/>
      <c r="K94" s="619"/>
      <c r="L94" s="627"/>
      <c r="M94" s="150"/>
      <c r="N94" s="151"/>
      <c r="O94" s="150"/>
      <c r="P94" s="151"/>
      <c r="Q94" s="150"/>
      <c r="R94" s="151"/>
      <c r="S94" s="150"/>
      <c r="T94" s="151"/>
      <c r="U94" s="150"/>
      <c r="V94" s="151"/>
      <c r="W94" s="150"/>
      <c r="X94" s="151"/>
      <c r="Y94" s="150"/>
      <c r="Z94" s="151"/>
      <c r="AA94" s="150"/>
      <c r="AB94" s="151"/>
      <c r="AC94" s="150"/>
      <c r="AD94" s="151"/>
      <c r="AE94" s="150"/>
      <c r="AF94" s="151"/>
      <c r="AG94" s="150"/>
      <c r="AH94" s="151"/>
      <c r="AI94" s="150"/>
      <c r="AJ94" s="151"/>
      <c r="AK94" s="150"/>
      <c r="AL94" s="151"/>
      <c r="AM94" s="150"/>
      <c r="AN94" s="151"/>
      <c r="AO94" s="150"/>
      <c r="AP94" s="151"/>
    </row>
    <row r="95" spans="1:42" x14ac:dyDescent="0.25">
      <c r="B95" s="369" t="s">
        <v>797</v>
      </c>
      <c r="C95" s="622"/>
      <c r="D95" s="622"/>
      <c r="E95" s="622"/>
      <c r="F95" s="622"/>
      <c r="G95" s="622"/>
      <c r="H95" s="622"/>
      <c r="I95" s="622"/>
      <c r="J95" s="622"/>
      <c r="K95" s="619"/>
      <c r="L95" s="627"/>
      <c r="M95" s="628"/>
      <c r="N95" s="627"/>
      <c r="O95" s="150"/>
      <c r="P95" s="151"/>
      <c r="Q95" s="150"/>
      <c r="R95" s="151"/>
      <c r="S95" s="150"/>
      <c r="T95" s="151"/>
      <c r="U95" s="150"/>
      <c r="V95" s="151"/>
      <c r="W95" s="150"/>
      <c r="X95" s="151"/>
      <c r="Y95" s="150"/>
      <c r="Z95" s="151"/>
      <c r="AA95" s="150"/>
      <c r="AB95" s="151"/>
      <c r="AC95" s="150"/>
      <c r="AD95" s="151"/>
      <c r="AE95" s="150"/>
      <c r="AF95" s="151"/>
      <c r="AG95" s="150"/>
      <c r="AH95" s="151"/>
      <c r="AI95" s="150"/>
      <c r="AJ95" s="151"/>
      <c r="AK95" s="150"/>
      <c r="AL95" s="151"/>
      <c r="AM95" s="150"/>
      <c r="AN95" s="151"/>
      <c r="AO95" s="150"/>
      <c r="AP95" s="151"/>
    </row>
    <row r="96" spans="1:42" x14ac:dyDescent="0.25">
      <c r="B96" s="369" t="s">
        <v>796</v>
      </c>
      <c r="C96" s="622"/>
      <c r="D96" s="622"/>
      <c r="E96" s="622"/>
      <c r="F96" s="622"/>
      <c r="G96" s="622"/>
      <c r="H96" s="622"/>
      <c r="I96" s="622"/>
      <c r="J96" s="622"/>
      <c r="K96" s="152"/>
      <c r="L96" s="151"/>
      <c r="M96" s="150"/>
      <c r="N96" s="151"/>
      <c r="O96" s="150"/>
      <c r="P96" s="151"/>
      <c r="Q96" s="150"/>
      <c r="R96" s="151"/>
      <c r="S96" s="150"/>
      <c r="T96" s="151"/>
      <c r="U96" s="628"/>
      <c r="V96" s="627"/>
      <c r="W96" s="628"/>
      <c r="X96" s="627"/>
      <c r="Y96" s="628"/>
      <c r="Z96" s="627"/>
      <c r="AA96" s="628"/>
      <c r="AB96" s="627"/>
      <c r="AC96" s="628"/>
      <c r="AD96" s="627"/>
      <c r="AE96" s="628"/>
      <c r="AF96" s="627"/>
      <c r="AG96" s="628"/>
      <c r="AH96" s="627"/>
      <c r="AI96" s="628"/>
      <c r="AJ96" s="627"/>
      <c r="AK96" s="628"/>
      <c r="AL96" s="627"/>
      <c r="AM96" s="628"/>
      <c r="AN96" s="627"/>
      <c r="AO96" s="628"/>
      <c r="AP96" s="627"/>
    </row>
    <row r="97" spans="1:42" x14ac:dyDescent="0.25">
      <c r="B97" s="369" t="s">
        <v>841</v>
      </c>
      <c r="C97" s="622"/>
      <c r="D97" s="622"/>
      <c r="E97" s="622"/>
      <c r="F97" s="622"/>
      <c r="G97" s="622"/>
      <c r="H97" s="622"/>
      <c r="I97" s="622"/>
      <c r="J97" s="622"/>
      <c r="K97" s="152"/>
      <c r="L97" s="151"/>
      <c r="M97" s="150"/>
      <c r="N97" s="151"/>
      <c r="O97" s="628"/>
      <c r="P97" s="627"/>
      <c r="Q97" s="150"/>
      <c r="R97" s="151"/>
      <c r="S97" s="150"/>
      <c r="T97" s="151"/>
      <c r="U97" s="150"/>
      <c r="V97" s="151"/>
      <c r="W97" s="150"/>
      <c r="X97" s="151"/>
      <c r="Y97" s="150"/>
      <c r="Z97" s="151"/>
      <c r="AA97" s="150"/>
      <c r="AB97" s="151"/>
      <c r="AC97" s="150"/>
      <c r="AD97" s="151"/>
      <c r="AE97" s="150"/>
      <c r="AF97" s="151"/>
      <c r="AG97" s="150"/>
      <c r="AH97" s="151"/>
      <c r="AI97" s="150"/>
      <c r="AJ97" s="151"/>
      <c r="AK97" s="150"/>
      <c r="AL97" s="151"/>
      <c r="AM97" s="150"/>
      <c r="AN97" s="151"/>
      <c r="AO97" s="150"/>
      <c r="AP97" s="151"/>
    </row>
    <row r="98" spans="1:42" x14ac:dyDescent="0.25">
      <c r="B98" s="369" t="s">
        <v>795</v>
      </c>
      <c r="C98" s="622"/>
      <c r="D98" s="622"/>
      <c r="E98" s="622"/>
      <c r="F98" s="622"/>
      <c r="G98" s="622"/>
      <c r="H98" s="622"/>
      <c r="I98" s="622"/>
      <c r="J98" s="622"/>
      <c r="K98" s="152"/>
      <c r="L98" s="151"/>
      <c r="M98" s="150"/>
      <c r="N98" s="151"/>
      <c r="O98" s="150"/>
      <c r="P98" s="151"/>
      <c r="Q98" s="150"/>
      <c r="R98" s="151"/>
      <c r="S98" s="150"/>
      <c r="T98" s="151"/>
      <c r="U98" s="628"/>
      <c r="V98" s="627"/>
      <c r="W98" s="628"/>
      <c r="X98" s="627"/>
      <c r="Y98" s="628"/>
      <c r="Z98" s="627"/>
      <c r="AA98" s="628"/>
      <c r="AB98" s="627"/>
      <c r="AC98" s="628"/>
      <c r="AD98" s="627"/>
      <c r="AE98" s="628"/>
      <c r="AF98" s="627"/>
      <c r="AG98" s="628"/>
      <c r="AH98" s="627"/>
      <c r="AI98" s="628"/>
      <c r="AJ98" s="627"/>
      <c r="AK98" s="628"/>
      <c r="AL98" s="627"/>
      <c r="AM98" s="628"/>
      <c r="AN98" s="627"/>
      <c r="AO98" s="628"/>
      <c r="AP98" s="627"/>
    </row>
    <row r="99" spans="1:42" x14ac:dyDescent="0.25">
      <c r="B99" s="369" t="s">
        <v>794</v>
      </c>
      <c r="C99" s="622"/>
      <c r="D99" s="622"/>
      <c r="E99" s="622"/>
      <c r="F99" s="622"/>
      <c r="G99" s="622"/>
      <c r="H99" s="622"/>
      <c r="I99" s="622"/>
      <c r="J99" s="622"/>
      <c r="K99" s="152"/>
      <c r="L99" s="151"/>
      <c r="M99" s="150"/>
      <c r="N99" s="151"/>
      <c r="O99" s="150"/>
      <c r="P99" s="151"/>
      <c r="Q99" s="150"/>
      <c r="R99" s="151"/>
      <c r="S99" s="150"/>
      <c r="T99" s="151"/>
      <c r="U99" s="628"/>
      <c r="V99" s="627"/>
      <c r="W99" s="628"/>
      <c r="X99" s="627"/>
      <c r="Y99" s="628"/>
      <c r="Z99" s="627"/>
      <c r="AA99" s="628"/>
      <c r="AB99" s="627"/>
      <c r="AC99" s="628"/>
      <c r="AD99" s="627"/>
      <c r="AE99" s="628"/>
      <c r="AF99" s="627"/>
      <c r="AG99" s="628"/>
      <c r="AH99" s="627"/>
      <c r="AI99" s="628"/>
      <c r="AJ99" s="627"/>
      <c r="AK99" s="628"/>
      <c r="AL99" s="627"/>
      <c r="AM99" s="628"/>
      <c r="AN99" s="627"/>
      <c r="AO99" s="628"/>
      <c r="AP99" s="627"/>
    </row>
    <row r="100" spans="1:42" x14ac:dyDescent="0.25">
      <c r="B100" s="369" t="s">
        <v>793</v>
      </c>
      <c r="C100" s="622"/>
      <c r="D100" s="622"/>
      <c r="E100" s="622"/>
      <c r="F100" s="622"/>
      <c r="G100" s="622"/>
      <c r="H100" s="622"/>
      <c r="I100" s="622"/>
      <c r="J100" s="622"/>
      <c r="K100" s="152"/>
      <c r="L100" s="151"/>
      <c r="M100" s="150"/>
      <c r="N100" s="151"/>
      <c r="O100" s="150"/>
      <c r="P100" s="151"/>
      <c r="Q100" s="150"/>
      <c r="R100" s="151"/>
      <c r="S100" s="150"/>
      <c r="T100" s="151"/>
      <c r="U100" s="628"/>
      <c r="V100" s="627"/>
      <c r="W100" s="628"/>
      <c r="X100" s="627"/>
      <c r="Y100" s="628"/>
      <c r="Z100" s="627"/>
      <c r="AA100" s="628"/>
      <c r="AB100" s="627"/>
      <c r="AC100" s="628"/>
      <c r="AD100" s="627"/>
      <c r="AE100" s="628"/>
      <c r="AF100" s="627"/>
      <c r="AG100" s="628"/>
      <c r="AH100" s="627"/>
      <c r="AI100" s="628"/>
      <c r="AJ100" s="627"/>
      <c r="AK100" s="628"/>
      <c r="AL100" s="627"/>
      <c r="AM100" s="628"/>
      <c r="AN100" s="627"/>
      <c r="AO100" s="628"/>
      <c r="AP100" s="627"/>
    </row>
    <row r="101" spans="1:42" x14ac:dyDescent="0.25">
      <c r="B101" s="369" t="s">
        <v>902</v>
      </c>
      <c r="C101" s="622"/>
      <c r="D101" s="625"/>
      <c r="E101" s="622"/>
      <c r="F101" s="622"/>
      <c r="G101" s="622"/>
      <c r="H101" s="622"/>
      <c r="I101" s="622"/>
      <c r="J101" s="622"/>
      <c r="K101" s="152"/>
      <c r="L101" s="151"/>
      <c r="M101" s="150"/>
      <c r="N101" s="151"/>
      <c r="O101" s="150"/>
      <c r="P101" s="151"/>
      <c r="Q101" s="150"/>
      <c r="R101" s="151"/>
      <c r="S101" s="150"/>
      <c r="T101" s="151"/>
      <c r="U101" s="150"/>
      <c r="V101" s="151"/>
      <c r="W101" s="150"/>
      <c r="X101" s="151"/>
      <c r="Y101" s="150"/>
      <c r="Z101" s="151"/>
      <c r="AA101" s="150"/>
      <c r="AB101" s="151"/>
      <c r="AC101" s="150"/>
      <c r="AD101" s="151"/>
      <c r="AE101" s="150"/>
      <c r="AF101" s="151"/>
      <c r="AG101" s="150"/>
      <c r="AH101" s="151"/>
      <c r="AI101" s="150"/>
      <c r="AJ101" s="151"/>
      <c r="AK101" s="150"/>
      <c r="AL101" s="151"/>
      <c r="AM101" s="150"/>
      <c r="AN101" s="151"/>
      <c r="AO101" s="150"/>
      <c r="AP101" s="151"/>
    </row>
    <row r="102" spans="1:42" x14ac:dyDescent="0.25">
      <c r="B102" s="369" t="s">
        <v>903</v>
      </c>
      <c r="C102" s="622"/>
      <c r="D102" s="622"/>
      <c r="E102" s="622"/>
      <c r="F102" s="622"/>
      <c r="G102" s="622"/>
      <c r="H102" s="622"/>
      <c r="I102" s="622"/>
      <c r="J102" s="622"/>
      <c r="K102" s="152"/>
      <c r="L102" s="151"/>
      <c r="M102" s="150"/>
      <c r="N102" s="151"/>
      <c r="O102" s="628"/>
      <c r="P102" s="627"/>
      <c r="Q102" s="150"/>
      <c r="R102" s="151"/>
      <c r="S102" s="150"/>
      <c r="T102" s="151"/>
      <c r="U102" s="150"/>
      <c r="V102" s="151"/>
      <c r="W102" s="150"/>
      <c r="X102" s="151"/>
      <c r="Y102" s="150"/>
      <c r="Z102" s="151"/>
      <c r="AA102" s="150"/>
      <c r="AB102" s="151"/>
      <c r="AC102" s="150"/>
      <c r="AD102" s="151"/>
      <c r="AE102" s="150"/>
      <c r="AF102" s="151"/>
      <c r="AG102" s="150"/>
      <c r="AH102" s="151"/>
      <c r="AI102" s="150"/>
      <c r="AJ102" s="151"/>
      <c r="AK102" s="150"/>
      <c r="AL102" s="151"/>
      <c r="AM102" s="150"/>
      <c r="AN102" s="151"/>
      <c r="AO102" s="150"/>
      <c r="AP102" s="151"/>
    </row>
    <row r="103" spans="1:42" x14ac:dyDescent="0.25">
      <c r="A103" s="626"/>
      <c r="B103" s="369" t="s">
        <v>904</v>
      </c>
      <c r="C103" s="622"/>
      <c r="D103" s="622"/>
      <c r="E103" s="622"/>
      <c r="F103" s="622"/>
      <c r="G103" s="622"/>
      <c r="H103" s="622"/>
      <c r="I103" s="622"/>
      <c r="J103" s="622"/>
      <c r="K103" s="152"/>
      <c r="L103" s="151"/>
      <c r="M103" s="150"/>
      <c r="N103" s="151"/>
      <c r="O103" s="150"/>
      <c r="P103" s="151"/>
      <c r="Q103" s="150"/>
      <c r="R103" s="151"/>
      <c r="S103" s="150"/>
      <c r="T103" s="151"/>
      <c r="U103" s="150"/>
      <c r="V103" s="151"/>
      <c r="W103" s="150"/>
      <c r="X103" s="151"/>
      <c r="Y103" s="150"/>
      <c r="Z103" s="151"/>
      <c r="AA103" s="150"/>
      <c r="AB103" s="151"/>
      <c r="AC103" s="150"/>
      <c r="AD103" s="151"/>
      <c r="AE103" s="150"/>
      <c r="AF103" s="151"/>
      <c r="AG103" s="150"/>
      <c r="AH103" s="151"/>
      <c r="AI103" s="150"/>
      <c r="AJ103" s="151"/>
      <c r="AK103" s="150"/>
      <c r="AL103" s="151"/>
      <c r="AM103" s="150"/>
      <c r="AN103" s="151"/>
      <c r="AO103" s="150"/>
      <c r="AP103" s="151"/>
    </row>
    <row r="104" spans="1:42" x14ac:dyDescent="0.25">
      <c r="B104" s="369" t="s">
        <v>792</v>
      </c>
      <c r="C104" s="625"/>
      <c r="D104" s="625"/>
      <c r="E104" s="625"/>
      <c r="F104" s="625"/>
      <c r="G104" s="625"/>
      <c r="H104" s="625"/>
      <c r="I104" s="625"/>
      <c r="J104" s="625"/>
      <c r="K104" s="152"/>
      <c r="L104" s="151"/>
      <c r="M104" s="150"/>
      <c r="N104" s="151"/>
      <c r="O104" s="150"/>
      <c r="P104" s="151"/>
      <c r="Q104" s="150"/>
      <c r="R104" s="151"/>
      <c r="S104" s="150"/>
      <c r="T104" s="151"/>
      <c r="U104" s="150"/>
      <c r="V104" s="151"/>
      <c r="W104" s="150"/>
      <c r="X104" s="151"/>
      <c r="Y104" s="150"/>
      <c r="Z104" s="151"/>
      <c r="AA104" s="150"/>
      <c r="AB104" s="151"/>
      <c r="AC104" s="150"/>
      <c r="AD104" s="151"/>
      <c r="AE104" s="150"/>
      <c r="AF104" s="151"/>
      <c r="AG104" s="150"/>
      <c r="AH104" s="151"/>
      <c r="AI104" s="150"/>
      <c r="AJ104" s="151"/>
      <c r="AK104" s="150"/>
      <c r="AL104" s="151"/>
      <c r="AM104" s="150"/>
      <c r="AN104" s="151"/>
      <c r="AO104" s="150"/>
      <c r="AP104" s="151"/>
    </row>
    <row r="105" spans="1:42" x14ac:dyDescent="0.25">
      <c r="B105" s="369" t="s">
        <v>791</v>
      </c>
      <c r="C105" s="622"/>
      <c r="D105" s="622"/>
      <c r="E105" s="622"/>
      <c r="F105" s="622"/>
      <c r="G105" s="622"/>
      <c r="H105" s="622"/>
      <c r="I105" s="622"/>
      <c r="J105" s="622"/>
      <c r="K105" s="619"/>
      <c r="L105" s="627"/>
      <c r="M105" s="628"/>
      <c r="N105" s="627"/>
      <c r="O105" s="628"/>
      <c r="P105" s="627"/>
      <c r="Q105" s="628"/>
      <c r="R105" s="627"/>
      <c r="S105" s="628"/>
      <c r="T105" s="627"/>
      <c r="U105" s="628"/>
      <c r="V105" s="627"/>
      <c r="W105" s="628"/>
      <c r="X105" s="627"/>
      <c r="Y105" s="628"/>
      <c r="Z105" s="627"/>
      <c r="AA105" s="628"/>
      <c r="AB105" s="627"/>
      <c r="AC105" s="628"/>
      <c r="AD105" s="627"/>
      <c r="AE105" s="628"/>
      <c r="AF105" s="627"/>
      <c r="AG105" s="628"/>
      <c r="AH105" s="627"/>
      <c r="AI105" s="628"/>
      <c r="AJ105" s="627"/>
      <c r="AK105" s="628"/>
      <c r="AL105" s="627"/>
      <c r="AM105" s="628"/>
      <c r="AN105" s="627"/>
      <c r="AO105" s="628"/>
      <c r="AP105" s="627"/>
    </row>
    <row r="106" spans="1:42" x14ac:dyDescent="0.25">
      <c r="A106" s="626"/>
      <c r="B106" s="369" t="s">
        <v>790</v>
      </c>
      <c r="C106" s="622"/>
      <c r="D106" s="622"/>
      <c r="E106" s="622"/>
      <c r="F106" s="622"/>
      <c r="G106" s="622"/>
      <c r="H106" s="622"/>
      <c r="I106" s="622"/>
      <c r="J106" s="622"/>
      <c r="K106" s="152"/>
      <c r="L106" s="151"/>
      <c r="M106" s="150"/>
      <c r="N106" s="151"/>
      <c r="O106" s="150"/>
      <c r="P106" s="151"/>
      <c r="Q106" s="150"/>
      <c r="R106" s="151"/>
      <c r="S106" s="150"/>
      <c r="T106" s="151"/>
      <c r="U106" s="150"/>
      <c r="V106" s="151"/>
      <c r="W106" s="150"/>
      <c r="X106" s="151"/>
      <c r="Y106" s="150"/>
      <c r="Z106" s="151"/>
      <c r="AA106" s="150"/>
      <c r="AB106" s="151"/>
      <c r="AC106" s="150"/>
      <c r="AD106" s="151"/>
      <c r="AE106" s="150"/>
      <c r="AF106" s="151"/>
      <c r="AG106" s="150"/>
      <c r="AH106" s="151"/>
      <c r="AI106" s="150"/>
      <c r="AJ106" s="151"/>
      <c r="AK106" s="150"/>
      <c r="AL106" s="151"/>
      <c r="AM106" s="150"/>
      <c r="AN106" s="151"/>
      <c r="AO106" s="150"/>
      <c r="AP106" s="151"/>
    </row>
    <row r="107" spans="1:42" x14ac:dyDescent="0.25">
      <c r="A107" s="626"/>
      <c r="B107" s="369" t="s">
        <v>849</v>
      </c>
      <c r="C107" s="622"/>
      <c r="D107" s="622"/>
      <c r="E107" s="622"/>
      <c r="F107" s="622"/>
      <c r="G107" s="622"/>
      <c r="H107" s="622"/>
      <c r="I107" s="622"/>
      <c r="J107" s="622"/>
      <c r="K107" s="152"/>
      <c r="L107" s="151"/>
      <c r="M107" s="150"/>
      <c r="N107" s="151"/>
      <c r="O107" s="150"/>
      <c r="P107" s="151"/>
      <c r="Q107" s="150"/>
      <c r="R107" s="151"/>
      <c r="S107" s="150"/>
      <c r="T107" s="151"/>
      <c r="U107" s="150"/>
      <c r="V107" s="151"/>
      <c r="W107" s="150"/>
      <c r="X107" s="151"/>
      <c r="Y107" s="150"/>
      <c r="Z107" s="151"/>
      <c r="AA107" s="150"/>
      <c r="AB107" s="151"/>
      <c r="AC107" s="150"/>
      <c r="AD107" s="151"/>
      <c r="AE107" s="150"/>
      <c r="AF107" s="151"/>
      <c r="AG107" s="150"/>
      <c r="AH107" s="151"/>
      <c r="AI107" s="150"/>
      <c r="AJ107" s="151"/>
      <c r="AK107" s="150"/>
      <c r="AL107" s="151"/>
      <c r="AM107" s="150"/>
      <c r="AN107" s="151"/>
      <c r="AO107" s="150"/>
      <c r="AP107" s="151"/>
    </row>
    <row r="108" spans="1:42" x14ac:dyDescent="0.25">
      <c r="B108" s="369" t="s">
        <v>789</v>
      </c>
      <c r="C108" s="622"/>
      <c r="D108" s="622"/>
      <c r="E108" s="622"/>
      <c r="F108" s="622"/>
      <c r="G108" s="622"/>
      <c r="H108" s="622"/>
      <c r="I108" s="622"/>
      <c r="J108" s="622"/>
      <c r="K108" s="152"/>
      <c r="L108" s="151"/>
      <c r="M108" s="628"/>
      <c r="N108" s="627"/>
      <c r="O108" s="628"/>
      <c r="P108" s="627"/>
      <c r="Q108" s="628"/>
      <c r="R108" s="627"/>
      <c r="S108" s="628"/>
      <c r="T108" s="627"/>
      <c r="U108" s="628"/>
      <c r="V108" s="627"/>
      <c r="W108" s="628"/>
      <c r="X108" s="627"/>
      <c r="Y108" s="628"/>
      <c r="Z108" s="627"/>
      <c r="AA108" s="628"/>
      <c r="AB108" s="627"/>
      <c r="AC108" s="628"/>
      <c r="AD108" s="627"/>
      <c r="AE108" s="628"/>
      <c r="AF108" s="627"/>
      <c r="AG108" s="628"/>
      <c r="AH108" s="627"/>
      <c r="AI108" s="628"/>
      <c r="AJ108" s="627"/>
      <c r="AK108" s="628"/>
      <c r="AL108" s="627"/>
      <c r="AM108" s="628"/>
      <c r="AN108" s="627"/>
      <c r="AO108" s="628"/>
      <c r="AP108" s="627"/>
    </row>
    <row r="109" spans="1:42" x14ac:dyDescent="0.25">
      <c r="B109" s="369" t="s">
        <v>788</v>
      </c>
      <c r="C109" s="622"/>
      <c r="D109" s="622"/>
      <c r="E109" s="622"/>
      <c r="F109" s="622"/>
      <c r="G109" s="622"/>
      <c r="H109" s="622"/>
      <c r="I109" s="622"/>
      <c r="J109" s="622"/>
      <c r="K109" s="152"/>
      <c r="L109" s="151"/>
      <c r="M109" s="150"/>
      <c r="N109" s="151"/>
      <c r="O109" s="150"/>
      <c r="P109" s="151"/>
      <c r="Q109" s="150"/>
      <c r="R109" s="151"/>
      <c r="S109" s="150"/>
      <c r="T109" s="151"/>
      <c r="U109" s="150"/>
      <c r="V109" s="151"/>
      <c r="W109" s="150"/>
      <c r="X109" s="151"/>
      <c r="Y109" s="150"/>
      <c r="Z109" s="151"/>
      <c r="AA109" s="150"/>
      <c r="AB109" s="151"/>
      <c r="AC109" s="150"/>
      <c r="AD109" s="151"/>
      <c r="AE109" s="150"/>
      <c r="AF109" s="151"/>
      <c r="AG109" s="150"/>
      <c r="AH109" s="151"/>
      <c r="AI109" s="150"/>
      <c r="AJ109" s="151"/>
      <c r="AK109" s="150"/>
      <c r="AL109" s="151"/>
      <c r="AM109" s="150"/>
      <c r="AN109" s="151"/>
      <c r="AO109" s="150"/>
      <c r="AP109" s="151"/>
    </row>
    <row r="110" spans="1:42" x14ac:dyDescent="0.25">
      <c r="B110" s="369" t="s">
        <v>787</v>
      </c>
      <c r="C110" s="622"/>
      <c r="D110" s="622"/>
      <c r="E110" s="622"/>
      <c r="F110" s="622"/>
      <c r="G110" s="622"/>
      <c r="H110" s="622"/>
      <c r="I110" s="622"/>
      <c r="J110" s="622"/>
      <c r="K110" s="152"/>
      <c r="L110" s="151"/>
      <c r="M110" s="150"/>
      <c r="N110" s="151"/>
      <c r="O110" s="150"/>
      <c r="P110" s="151"/>
      <c r="Q110" s="150"/>
      <c r="R110" s="151"/>
      <c r="S110" s="150"/>
      <c r="T110" s="151"/>
      <c r="U110" s="628"/>
      <c r="V110" s="627"/>
      <c r="W110" s="628"/>
      <c r="X110" s="627"/>
      <c r="Y110" s="628"/>
      <c r="Z110" s="627"/>
      <c r="AA110" s="628"/>
      <c r="AB110" s="627"/>
      <c r="AC110" s="628"/>
      <c r="AD110" s="627"/>
      <c r="AE110" s="628"/>
      <c r="AF110" s="627"/>
      <c r="AG110" s="628"/>
      <c r="AH110" s="627"/>
      <c r="AI110" s="628"/>
      <c r="AJ110" s="627"/>
      <c r="AK110" s="628"/>
      <c r="AL110" s="627"/>
      <c r="AM110" s="628"/>
      <c r="AN110" s="627"/>
      <c r="AO110" s="628"/>
      <c r="AP110" s="627"/>
    </row>
    <row r="111" spans="1:42" x14ac:dyDescent="0.25">
      <c r="B111" s="369" t="s">
        <v>786</v>
      </c>
      <c r="C111" s="622"/>
      <c r="D111" s="622"/>
      <c r="E111" s="622"/>
      <c r="F111" s="622"/>
      <c r="G111" s="622"/>
      <c r="H111" s="622"/>
      <c r="I111" s="622"/>
      <c r="J111" s="622"/>
      <c r="K111" s="152"/>
      <c r="L111" s="151"/>
      <c r="M111" s="628"/>
      <c r="N111" s="627"/>
      <c r="O111" s="628"/>
      <c r="P111" s="627"/>
      <c r="Q111" s="628"/>
      <c r="R111" s="627"/>
      <c r="S111" s="628"/>
      <c r="T111" s="627"/>
      <c r="U111" s="628"/>
      <c r="V111" s="627"/>
      <c r="W111" s="628"/>
      <c r="X111" s="627"/>
      <c r="Y111" s="628"/>
      <c r="Z111" s="627"/>
      <c r="AA111" s="628"/>
      <c r="AB111" s="627"/>
      <c r="AC111" s="628"/>
      <c r="AD111" s="627"/>
      <c r="AE111" s="628"/>
      <c r="AF111" s="627"/>
      <c r="AG111" s="628"/>
      <c r="AH111" s="627"/>
      <c r="AI111" s="628"/>
      <c r="AJ111" s="627"/>
      <c r="AK111" s="628"/>
      <c r="AL111" s="627"/>
      <c r="AM111" s="628"/>
      <c r="AN111" s="627"/>
      <c r="AO111" s="628"/>
      <c r="AP111" s="627"/>
    </row>
    <row r="112" spans="1:42" ht="15.75" thickBot="1" x14ac:dyDescent="0.3">
      <c r="B112" s="369" t="s">
        <v>785</v>
      </c>
      <c r="C112" s="622"/>
      <c r="D112" s="622"/>
      <c r="E112" s="622"/>
      <c r="F112" s="622"/>
      <c r="G112" s="622"/>
      <c r="H112" s="622"/>
      <c r="I112" s="622"/>
      <c r="J112" s="622"/>
      <c r="K112" s="619"/>
      <c r="L112" s="627"/>
      <c r="M112" s="628"/>
      <c r="N112" s="627"/>
      <c r="O112" s="628"/>
      <c r="P112" s="627"/>
      <c r="Q112" s="628"/>
      <c r="R112" s="627"/>
      <c r="S112" s="628"/>
      <c r="T112" s="627"/>
      <c r="U112" s="628"/>
      <c r="V112" s="627"/>
      <c r="W112" s="628"/>
      <c r="X112" s="627"/>
      <c r="Y112" s="628"/>
      <c r="Z112" s="627"/>
      <c r="AA112" s="628"/>
      <c r="AB112" s="627"/>
      <c r="AC112" s="628"/>
      <c r="AD112" s="627"/>
      <c r="AE112" s="628"/>
      <c r="AF112" s="627"/>
      <c r="AG112" s="150"/>
      <c r="AH112" s="151"/>
      <c r="AI112" s="150"/>
      <c r="AJ112" s="151"/>
      <c r="AK112" s="150"/>
      <c r="AL112" s="151"/>
      <c r="AM112" s="150"/>
      <c r="AN112" s="151"/>
      <c r="AO112" s="150"/>
      <c r="AP112" s="151"/>
    </row>
    <row r="113" spans="2:45" x14ac:dyDescent="0.25">
      <c r="B113" s="145" t="s">
        <v>338</v>
      </c>
      <c r="C113" s="145">
        <v>2007</v>
      </c>
      <c r="D113" s="146">
        <v>2008</v>
      </c>
      <c r="E113" s="144">
        <v>2009</v>
      </c>
      <c r="F113" s="145">
        <v>2010</v>
      </c>
      <c r="G113" s="146">
        <v>2011</v>
      </c>
      <c r="H113" s="144">
        <v>2012</v>
      </c>
      <c r="I113" s="145">
        <v>2013</v>
      </c>
      <c r="J113" s="146">
        <v>2014</v>
      </c>
      <c r="K113" s="983">
        <v>2015</v>
      </c>
      <c r="L113" s="984"/>
      <c r="M113" s="983">
        <v>2016</v>
      </c>
      <c r="N113" s="984"/>
      <c r="O113" s="983">
        <v>2017</v>
      </c>
      <c r="P113" s="984"/>
      <c r="Q113" s="983">
        <v>2018</v>
      </c>
      <c r="R113" s="984"/>
      <c r="S113" s="983">
        <v>2019</v>
      </c>
      <c r="T113" s="984"/>
      <c r="U113" s="983">
        <v>2020</v>
      </c>
      <c r="V113" s="984"/>
      <c r="W113" s="983">
        <v>2021</v>
      </c>
      <c r="X113" s="984"/>
      <c r="Y113" s="983">
        <v>2022</v>
      </c>
      <c r="Z113" s="984"/>
      <c r="AA113" s="983">
        <v>2023</v>
      </c>
      <c r="AB113" s="984"/>
      <c r="AC113" s="983">
        <v>2024</v>
      </c>
      <c r="AD113" s="984"/>
      <c r="AE113" s="983">
        <v>2025</v>
      </c>
      <c r="AF113" s="984"/>
      <c r="AG113" s="983">
        <v>2026</v>
      </c>
      <c r="AH113" s="984"/>
      <c r="AI113" s="983">
        <v>2027</v>
      </c>
      <c r="AJ113" s="984"/>
      <c r="AK113" s="983">
        <v>2028</v>
      </c>
      <c r="AL113" s="984"/>
      <c r="AM113" s="983">
        <v>2029</v>
      </c>
      <c r="AN113" s="984"/>
      <c r="AO113" s="983">
        <v>2030</v>
      </c>
      <c r="AP113" s="984"/>
      <c r="AQ113" s="190"/>
      <c r="AR113" s="190"/>
      <c r="AS113" s="190"/>
    </row>
    <row r="114" spans="2:45" x14ac:dyDescent="0.25">
      <c r="B114" s="371" t="s">
        <v>617</v>
      </c>
      <c r="C114" s="952"/>
      <c r="D114" s="952"/>
      <c r="E114" s="952"/>
      <c r="F114" s="952"/>
      <c r="G114" s="952"/>
      <c r="H114" s="952"/>
      <c r="I114" s="622"/>
      <c r="J114" s="622"/>
      <c r="K114" s="150"/>
      <c r="L114" s="151"/>
      <c r="M114" s="150"/>
      <c r="N114" s="151"/>
      <c r="O114" s="150"/>
      <c r="P114" s="151"/>
      <c r="Q114" s="150"/>
      <c r="R114" s="151"/>
      <c r="S114" s="150"/>
      <c r="T114" s="151"/>
      <c r="U114" s="150"/>
      <c r="V114" s="151"/>
      <c r="W114" s="150"/>
      <c r="X114" s="151"/>
      <c r="Y114" s="150"/>
      <c r="Z114" s="151"/>
      <c r="AA114" s="150"/>
      <c r="AB114" s="151"/>
      <c r="AC114" s="150"/>
      <c r="AD114" s="151"/>
      <c r="AE114" s="150"/>
      <c r="AF114" s="151"/>
      <c r="AG114" s="150"/>
      <c r="AH114" s="151"/>
      <c r="AI114" s="150"/>
      <c r="AJ114" s="151"/>
      <c r="AK114" s="150"/>
      <c r="AL114" s="151"/>
      <c r="AM114" s="150"/>
      <c r="AN114" s="151"/>
      <c r="AO114" s="150"/>
      <c r="AP114" s="151"/>
    </row>
    <row r="115" spans="2:45" x14ac:dyDescent="0.25">
      <c r="B115" s="371" t="s">
        <v>618</v>
      </c>
      <c r="C115" s="622"/>
      <c r="D115" s="622"/>
      <c r="E115" s="622"/>
      <c r="F115" s="622"/>
      <c r="G115" s="622"/>
      <c r="H115" s="622"/>
      <c r="I115" s="622"/>
      <c r="J115" s="622"/>
      <c r="K115" s="150"/>
      <c r="L115" s="151"/>
      <c r="M115" s="150"/>
      <c r="N115" s="151"/>
      <c r="O115" s="150"/>
      <c r="P115" s="151"/>
      <c r="Q115" s="150"/>
      <c r="R115" s="151"/>
      <c r="S115" s="150"/>
      <c r="T115" s="151"/>
      <c r="U115" s="953"/>
      <c r="V115" s="954"/>
      <c r="W115" s="953"/>
      <c r="X115" s="954"/>
      <c r="Y115" s="953"/>
      <c r="Z115" s="954"/>
      <c r="AA115" s="953"/>
      <c r="AB115" s="954"/>
      <c r="AC115" s="953"/>
      <c r="AD115" s="954"/>
      <c r="AE115" s="953"/>
      <c r="AF115" s="954"/>
      <c r="AG115" s="150"/>
      <c r="AH115" s="151"/>
      <c r="AI115" s="150"/>
      <c r="AJ115" s="151"/>
      <c r="AK115" s="150"/>
      <c r="AL115" s="151"/>
      <c r="AM115" s="150"/>
      <c r="AN115" s="151"/>
      <c r="AO115" s="150"/>
      <c r="AP115" s="151"/>
    </row>
    <row r="116" spans="2:45" x14ac:dyDescent="0.25">
      <c r="B116" s="371" t="s">
        <v>619</v>
      </c>
      <c r="C116" s="622"/>
      <c r="D116" s="622"/>
      <c r="E116" s="622"/>
      <c r="F116" s="622"/>
      <c r="G116" s="622"/>
      <c r="H116" s="952"/>
      <c r="I116" s="952"/>
      <c r="J116" s="952"/>
      <c r="K116" s="953"/>
      <c r="L116" s="954"/>
      <c r="M116" s="953"/>
      <c r="N116" s="954"/>
      <c r="O116" s="953"/>
      <c r="P116" s="954"/>
      <c r="Q116" s="953"/>
      <c r="R116" s="954"/>
      <c r="S116" s="150"/>
      <c r="T116" s="151"/>
      <c r="U116" s="150"/>
      <c r="V116" s="151"/>
      <c r="W116" s="150"/>
      <c r="X116" s="151"/>
      <c r="Y116" s="150"/>
      <c r="Z116" s="151"/>
      <c r="AA116" s="150"/>
      <c r="AB116" s="151"/>
      <c r="AC116" s="150"/>
      <c r="AD116" s="151"/>
      <c r="AE116" s="150"/>
      <c r="AF116" s="151"/>
      <c r="AG116" s="150"/>
      <c r="AH116" s="151"/>
      <c r="AI116" s="150"/>
      <c r="AJ116" s="151"/>
      <c r="AK116" s="150"/>
      <c r="AL116" s="151"/>
      <c r="AM116" s="150"/>
      <c r="AN116" s="151"/>
      <c r="AO116" s="150"/>
      <c r="AP116" s="151"/>
    </row>
    <row r="117" spans="2:45" x14ac:dyDescent="0.25">
      <c r="B117" s="371" t="s">
        <v>620</v>
      </c>
      <c r="C117" s="622"/>
      <c r="D117" s="622"/>
      <c r="E117" s="622"/>
      <c r="F117" s="622"/>
      <c r="G117" s="622"/>
      <c r="H117" s="952"/>
      <c r="I117" s="952"/>
      <c r="J117" s="952"/>
      <c r="K117" s="953"/>
      <c r="L117" s="954"/>
      <c r="M117" s="953"/>
      <c r="N117" s="954"/>
      <c r="O117" s="953"/>
      <c r="P117" s="954"/>
      <c r="Q117" s="953"/>
      <c r="R117" s="954"/>
      <c r="S117" s="150"/>
      <c r="T117" s="151"/>
      <c r="U117" s="150"/>
      <c r="V117" s="151"/>
      <c r="W117" s="150"/>
      <c r="X117" s="151"/>
      <c r="Y117" s="150"/>
      <c r="Z117" s="151"/>
      <c r="AA117" s="150"/>
      <c r="AB117" s="151"/>
      <c r="AC117" s="150"/>
      <c r="AD117" s="151"/>
      <c r="AE117" s="150"/>
      <c r="AF117" s="151"/>
      <c r="AG117" s="150"/>
      <c r="AH117" s="151"/>
      <c r="AI117" s="150"/>
      <c r="AJ117" s="151"/>
      <c r="AK117" s="150"/>
      <c r="AL117" s="151"/>
      <c r="AM117" s="150"/>
      <c r="AN117" s="151"/>
      <c r="AO117" s="150"/>
      <c r="AP117" s="151"/>
    </row>
    <row r="118" spans="2:45" x14ac:dyDescent="0.25">
      <c r="B118" s="371" t="s">
        <v>621</v>
      </c>
      <c r="C118" s="622"/>
      <c r="D118" s="622"/>
      <c r="E118" s="622"/>
      <c r="F118" s="622"/>
      <c r="G118" s="622"/>
      <c r="H118" s="622"/>
      <c r="I118" s="622"/>
      <c r="J118" s="622"/>
      <c r="K118" s="150"/>
      <c r="L118" s="151"/>
      <c r="M118" s="953"/>
      <c r="N118" s="954"/>
      <c r="O118" s="953"/>
      <c r="P118" s="954"/>
      <c r="Q118" s="953"/>
      <c r="R118" s="954"/>
      <c r="S118" s="953"/>
      <c r="T118" s="954"/>
      <c r="U118" s="953"/>
      <c r="V118" s="954"/>
      <c r="W118" s="953"/>
      <c r="X118" s="954"/>
      <c r="Y118" s="953"/>
      <c r="Z118" s="954"/>
      <c r="AA118" s="953"/>
      <c r="AB118" s="954"/>
      <c r="AC118" s="953"/>
      <c r="AD118" s="954"/>
      <c r="AE118" s="953"/>
      <c r="AF118" s="954"/>
      <c r="AG118" s="150"/>
      <c r="AH118" s="151"/>
      <c r="AI118" s="150"/>
      <c r="AJ118" s="151"/>
      <c r="AK118" s="150"/>
      <c r="AL118" s="151"/>
      <c r="AM118" s="150"/>
      <c r="AN118" s="151"/>
      <c r="AO118" s="150"/>
      <c r="AP118" s="151"/>
    </row>
    <row r="119" spans="2:45" x14ac:dyDescent="0.25">
      <c r="B119" s="371" t="s">
        <v>622</v>
      </c>
      <c r="C119" s="622"/>
      <c r="D119" s="622"/>
      <c r="E119" s="622"/>
      <c r="F119" s="622"/>
      <c r="G119" s="622"/>
      <c r="H119" s="952"/>
      <c r="I119" s="952"/>
      <c r="J119" s="952"/>
      <c r="K119" s="953"/>
      <c r="L119" s="954"/>
      <c r="M119" s="953"/>
      <c r="N119" s="954"/>
      <c r="O119" s="953"/>
      <c r="P119" s="954"/>
      <c r="Q119" s="953"/>
      <c r="R119" s="954"/>
      <c r="S119" s="150"/>
      <c r="T119" s="151"/>
      <c r="U119" s="150"/>
      <c r="V119" s="151"/>
      <c r="W119" s="150"/>
      <c r="X119" s="151"/>
      <c r="Y119" s="150"/>
      <c r="Z119" s="151"/>
      <c r="AA119" s="150"/>
      <c r="AB119" s="151"/>
      <c r="AC119" s="150"/>
      <c r="AD119" s="151"/>
      <c r="AE119" s="150"/>
      <c r="AF119" s="151"/>
      <c r="AG119" s="150"/>
      <c r="AH119" s="151"/>
      <c r="AI119" s="150"/>
      <c r="AJ119" s="151"/>
      <c r="AK119" s="150"/>
      <c r="AL119" s="151"/>
      <c r="AM119" s="150"/>
      <c r="AN119" s="151"/>
      <c r="AO119" s="150"/>
      <c r="AP119" s="151"/>
    </row>
    <row r="120" spans="2:45" x14ac:dyDescent="0.25">
      <c r="B120" s="834" t="s">
        <v>623</v>
      </c>
      <c r="C120" s="955"/>
      <c r="D120" s="955"/>
      <c r="E120" s="955"/>
      <c r="F120" s="955"/>
      <c r="G120" s="955"/>
      <c r="H120" s="955"/>
      <c r="I120" s="955"/>
      <c r="J120" s="955"/>
      <c r="K120" s="956"/>
      <c r="L120" s="957"/>
      <c r="M120" s="956"/>
      <c r="N120" s="957"/>
      <c r="O120" s="956"/>
      <c r="P120" s="957"/>
      <c r="Q120" s="956"/>
      <c r="R120" s="957"/>
      <c r="S120" s="956"/>
      <c r="T120" s="957"/>
      <c r="U120" s="956"/>
      <c r="V120" s="957"/>
      <c r="W120" s="956"/>
      <c r="X120" s="957"/>
      <c r="Y120" s="956"/>
      <c r="Z120" s="957"/>
      <c r="AA120" s="956"/>
      <c r="AB120" s="957"/>
      <c r="AC120" s="956"/>
      <c r="AD120" s="957"/>
      <c r="AE120" s="956"/>
      <c r="AF120" s="957"/>
      <c r="AG120" s="956"/>
      <c r="AH120" s="957"/>
      <c r="AI120" s="956"/>
      <c r="AJ120" s="957"/>
      <c r="AK120" s="956"/>
      <c r="AL120" s="957"/>
      <c r="AM120" s="956"/>
      <c r="AN120" s="957"/>
      <c r="AO120" s="956"/>
      <c r="AP120" s="957"/>
    </row>
    <row r="121" spans="2:45" x14ac:dyDescent="0.25">
      <c r="B121" s="371" t="s">
        <v>624</v>
      </c>
      <c r="C121" s="622"/>
      <c r="D121" s="622"/>
      <c r="E121" s="622"/>
      <c r="F121" s="622"/>
      <c r="G121" s="622"/>
      <c r="H121" s="622"/>
      <c r="I121" s="622"/>
      <c r="J121" s="622"/>
      <c r="K121" s="150"/>
      <c r="L121" s="151"/>
      <c r="M121" s="150"/>
      <c r="N121" s="151"/>
      <c r="O121" s="150"/>
      <c r="P121" s="151"/>
      <c r="Q121" s="150"/>
      <c r="R121" s="151"/>
      <c r="S121" s="150"/>
      <c r="T121" s="151"/>
      <c r="U121" s="953"/>
      <c r="V121" s="954"/>
      <c r="W121" s="953"/>
      <c r="X121" s="954"/>
      <c r="Y121" s="953"/>
      <c r="Z121" s="954"/>
      <c r="AA121" s="953"/>
      <c r="AB121" s="954"/>
      <c r="AC121" s="953"/>
      <c r="AD121" s="954"/>
      <c r="AE121" s="953"/>
      <c r="AF121" s="954"/>
      <c r="AG121" s="953"/>
      <c r="AH121" s="954"/>
      <c r="AI121" s="953"/>
      <c r="AJ121" s="954"/>
      <c r="AK121" s="953"/>
      <c r="AL121" s="954"/>
      <c r="AM121" s="953"/>
      <c r="AN121" s="954"/>
      <c r="AO121" s="953"/>
      <c r="AP121" s="954"/>
    </row>
    <row r="122" spans="2:45" x14ac:dyDescent="0.25">
      <c r="B122" s="371" t="s">
        <v>625</v>
      </c>
      <c r="C122" s="622"/>
      <c r="D122" s="622"/>
      <c r="E122" s="622"/>
      <c r="F122" s="622"/>
      <c r="G122" s="622"/>
      <c r="H122" s="622"/>
      <c r="I122" s="622"/>
      <c r="J122" s="622"/>
      <c r="K122" s="150"/>
      <c r="L122" s="151"/>
      <c r="M122" s="150"/>
      <c r="N122" s="151"/>
      <c r="O122" s="150"/>
      <c r="P122" s="151"/>
      <c r="Q122" s="150"/>
      <c r="R122" s="151"/>
      <c r="S122" s="150"/>
      <c r="T122" s="151"/>
      <c r="U122" s="953"/>
      <c r="V122" s="954"/>
      <c r="W122" s="953"/>
      <c r="X122" s="954"/>
      <c r="Y122" s="953"/>
      <c r="Z122" s="954"/>
      <c r="AA122" s="953"/>
      <c r="AB122" s="954"/>
      <c r="AC122" s="953"/>
      <c r="AD122" s="954"/>
      <c r="AE122" s="953"/>
      <c r="AF122" s="954"/>
      <c r="AG122" s="953"/>
      <c r="AH122" s="954"/>
      <c r="AI122" s="953"/>
      <c r="AJ122" s="954"/>
      <c r="AK122" s="953"/>
      <c r="AL122" s="954"/>
      <c r="AM122" s="953"/>
      <c r="AN122" s="954"/>
      <c r="AO122" s="953"/>
      <c r="AP122" s="954"/>
    </row>
    <row r="123" spans="2:45" x14ac:dyDescent="0.25">
      <c r="B123" s="371" t="s">
        <v>626</v>
      </c>
      <c r="C123" s="622"/>
      <c r="D123" s="622"/>
      <c r="E123" s="622"/>
      <c r="F123" s="622"/>
      <c r="G123" s="622"/>
      <c r="H123" s="952"/>
      <c r="I123" s="952"/>
      <c r="J123" s="952"/>
      <c r="K123" s="953"/>
      <c r="L123" s="954"/>
      <c r="M123" s="953"/>
      <c r="N123" s="954"/>
      <c r="O123" s="953"/>
      <c r="P123" s="954"/>
      <c r="Q123" s="953"/>
      <c r="R123" s="954"/>
      <c r="S123" s="953"/>
      <c r="T123" s="954"/>
      <c r="U123" s="953"/>
      <c r="V123" s="954"/>
      <c r="W123" s="953"/>
      <c r="X123" s="954"/>
      <c r="Y123" s="953"/>
      <c r="Z123" s="954"/>
      <c r="AA123" s="953"/>
      <c r="AB123" s="954"/>
      <c r="AC123" s="953"/>
      <c r="AD123" s="954"/>
      <c r="AE123" s="953"/>
      <c r="AF123" s="954"/>
      <c r="AG123" s="953"/>
      <c r="AH123" s="954"/>
      <c r="AI123" s="953"/>
      <c r="AJ123" s="954"/>
      <c r="AK123" s="953"/>
      <c r="AL123" s="954"/>
      <c r="AM123" s="953"/>
      <c r="AN123" s="954"/>
      <c r="AO123" s="953"/>
      <c r="AP123" s="954"/>
    </row>
    <row r="124" spans="2:45" x14ac:dyDescent="0.25">
      <c r="B124" s="371" t="s">
        <v>627</v>
      </c>
      <c r="C124" s="622"/>
      <c r="D124" s="622"/>
      <c r="E124" s="622"/>
      <c r="F124" s="622"/>
      <c r="G124" s="622"/>
      <c r="H124" s="952"/>
      <c r="I124" s="622"/>
      <c r="J124" s="622"/>
      <c r="K124" s="150"/>
      <c r="L124" s="151"/>
      <c r="M124" s="150"/>
      <c r="N124" s="151"/>
      <c r="O124" s="150"/>
      <c r="P124" s="151"/>
      <c r="Q124" s="150"/>
      <c r="R124" s="151"/>
      <c r="S124" s="150"/>
      <c r="T124" s="151"/>
      <c r="U124" s="150"/>
      <c r="V124" s="151"/>
      <c r="W124" s="150"/>
      <c r="X124" s="151"/>
      <c r="Y124" s="150"/>
      <c r="Z124" s="151"/>
      <c r="AA124" s="150"/>
      <c r="AB124" s="151"/>
      <c r="AC124" s="150"/>
      <c r="AD124" s="151"/>
      <c r="AE124" s="150"/>
      <c r="AF124" s="151"/>
      <c r="AG124" s="150"/>
      <c r="AH124" s="151"/>
      <c r="AI124" s="150"/>
      <c r="AJ124" s="151"/>
      <c r="AK124" s="150"/>
      <c r="AL124" s="151"/>
      <c r="AM124" s="150"/>
      <c r="AN124" s="151"/>
      <c r="AO124" s="150"/>
      <c r="AP124" s="151"/>
    </row>
    <row r="125" spans="2:45" x14ac:dyDescent="0.25">
      <c r="B125" s="371" t="s">
        <v>628</v>
      </c>
      <c r="C125" s="622"/>
      <c r="D125" s="622"/>
      <c r="E125" s="622"/>
      <c r="F125" s="622"/>
      <c r="G125" s="622"/>
      <c r="H125" s="952"/>
      <c r="I125" s="622"/>
      <c r="J125" s="622"/>
      <c r="K125" s="150"/>
      <c r="L125" s="151"/>
      <c r="M125" s="150"/>
      <c r="N125" s="151"/>
      <c r="O125" s="150"/>
      <c r="P125" s="151"/>
      <c r="Q125" s="150"/>
      <c r="R125" s="151"/>
      <c r="S125" s="150"/>
      <c r="T125" s="151"/>
      <c r="U125" s="150"/>
      <c r="V125" s="151"/>
      <c r="W125" s="150"/>
      <c r="X125" s="151"/>
      <c r="Y125" s="150"/>
      <c r="Z125" s="151"/>
      <c r="AA125" s="150"/>
      <c r="AB125" s="151"/>
      <c r="AC125" s="150"/>
      <c r="AD125" s="151"/>
      <c r="AE125" s="150"/>
      <c r="AF125" s="151"/>
      <c r="AG125" s="150"/>
      <c r="AH125" s="151"/>
      <c r="AI125" s="150"/>
      <c r="AJ125" s="151"/>
      <c r="AK125" s="150"/>
      <c r="AL125" s="151"/>
      <c r="AM125" s="150"/>
      <c r="AN125" s="151"/>
      <c r="AO125" s="150"/>
      <c r="AP125" s="151"/>
    </row>
    <row r="126" spans="2:45" x14ac:dyDescent="0.25">
      <c r="B126" s="371" t="s">
        <v>629</v>
      </c>
      <c r="C126" s="622"/>
      <c r="D126" s="622"/>
      <c r="E126" s="622"/>
      <c r="F126" s="622"/>
      <c r="G126" s="622"/>
      <c r="H126" s="952"/>
      <c r="I126" s="952"/>
      <c r="J126" s="952"/>
      <c r="K126" s="953"/>
      <c r="L126" s="954"/>
      <c r="M126" s="953"/>
      <c r="N126" s="954"/>
      <c r="O126" s="953"/>
      <c r="P126" s="954"/>
      <c r="Q126" s="953"/>
      <c r="R126" s="954"/>
      <c r="S126" s="953"/>
      <c r="T126" s="954"/>
      <c r="U126" s="953"/>
      <c r="V126" s="954"/>
      <c r="W126" s="953"/>
      <c r="X126" s="954"/>
      <c r="Y126" s="953"/>
      <c r="Z126" s="954"/>
      <c r="AA126" s="953"/>
      <c r="AB126" s="954"/>
      <c r="AC126" s="953"/>
      <c r="AD126" s="954"/>
      <c r="AE126" s="953"/>
      <c r="AF126" s="954"/>
      <c r="AG126" s="953"/>
      <c r="AH126" s="954"/>
      <c r="AI126" s="953"/>
      <c r="AJ126" s="954"/>
      <c r="AK126" s="953"/>
      <c r="AL126" s="954"/>
      <c r="AM126" s="953"/>
      <c r="AN126" s="954"/>
      <c r="AO126" s="953"/>
      <c r="AP126" s="954"/>
    </row>
    <row r="127" spans="2:45" x14ac:dyDescent="0.25">
      <c r="B127" s="371" t="s">
        <v>784</v>
      </c>
      <c r="C127" s="622"/>
      <c r="D127" s="622"/>
      <c r="E127" s="622"/>
      <c r="F127" s="622"/>
      <c r="G127" s="622"/>
      <c r="H127" s="622"/>
      <c r="I127" s="622"/>
      <c r="J127" s="622"/>
      <c r="K127" s="150"/>
      <c r="L127" s="151"/>
      <c r="M127" s="150"/>
      <c r="N127" s="151"/>
      <c r="O127" s="150"/>
      <c r="P127" s="151"/>
      <c r="Q127" s="150"/>
      <c r="R127" s="954"/>
      <c r="S127" s="953"/>
      <c r="T127" s="954"/>
      <c r="U127" s="953"/>
      <c r="V127" s="954"/>
      <c r="W127" s="953"/>
      <c r="X127" s="954"/>
      <c r="Y127" s="953"/>
      <c r="Z127" s="954"/>
      <c r="AA127" s="953"/>
      <c r="AB127" s="954"/>
      <c r="AC127" s="953"/>
      <c r="AD127" s="954"/>
      <c r="AE127" s="953"/>
      <c r="AF127" s="954"/>
      <c r="AG127" s="953"/>
      <c r="AH127" s="954"/>
      <c r="AI127" s="953"/>
      <c r="AJ127" s="954"/>
      <c r="AK127" s="953"/>
      <c r="AL127" s="954"/>
      <c r="AM127" s="953"/>
      <c r="AN127" s="954"/>
      <c r="AO127" s="953"/>
      <c r="AP127" s="954"/>
    </row>
    <row r="128" spans="2:45" x14ac:dyDescent="0.25">
      <c r="B128" s="834" t="s">
        <v>783</v>
      </c>
      <c r="C128" s="955"/>
      <c r="D128" s="955"/>
      <c r="E128" s="955"/>
      <c r="F128" s="955"/>
      <c r="G128" s="955"/>
      <c r="H128" s="955"/>
      <c r="I128" s="955"/>
      <c r="J128" s="955"/>
      <c r="K128" s="956"/>
      <c r="L128" s="957"/>
      <c r="M128" s="956"/>
      <c r="N128" s="957"/>
      <c r="O128" s="956"/>
      <c r="P128" s="957"/>
      <c r="Q128" s="956"/>
      <c r="R128" s="957"/>
      <c r="S128" s="956"/>
      <c r="T128" s="957"/>
      <c r="U128" s="956"/>
      <c r="V128" s="957"/>
      <c r="W128" s="956"/>
      <c r="X128" s="957"/>
      <c r="Y128" s="956"/>
      <c r="Z128" s="957"/>
      <c r="AA128" s="956"/>
      <c r="AB128" s="957"/>
      <c r="AC128" s="956"/>
      <c r="AD128" s="957"/>
      <c r="AE128" s="956"/>
      <c r="AF128" s="957"/>
      <c r="AG128" s="956"/>
      <c r="AH128" s="957"/>
      <c r="AI128" s="956"/>
      <c r="AJ128" s="957"/>
      <c r="AK128" s="956"/>
      <c r="AL128" s="957"/>
      <c r="AM128" s="956"/>
      <c r="AN128" s="957"/>
      <c r="AO128" s="956"/>
      <c r="AP128" s="957"/>
    </row>
    <row r="129" spans="2:42" x14ac:dyDescent="0.25">
      <c r="B129" s="371" t="s">
        <v>782</v>
      </c>
      <c r="C129" s="622"/>
      <c r="D129" s="622"/>
      <c r="E129" s="622"/>
      <c r="F129" s="622"/>
      <c r="G129" s="622"/>
      <c r="H129" s="952"/>
      <c r="I129" s="952"/>
      <c r="J129" s="952"/>
      <c r="K129" s="953"/>
      <c r="L129" s="954"/>
      <c r="M129" s="953"/>
      <c r="N129" s="954"/>
      <c r="O129" s="953"/>
      <c r="P129" s="954"/>
      <c r="Q129" s="953"/>
      <c r="R129" s="954"/>
      <c r="S129" s="953"/>
      <c r="T129" s="954"/>
      <c r="U129" s="953"/>
      <c r="V129" s="954"/>
      <c r="W129" s="953"/>
      <c r="X129" s="954"/>
      <c r="Y129" s="953"/>
      <c r="Z129" s="954"/>
      <c r="AA129" s="953"/>
      <c r="AB129" s="954"/>
      <c r="AC129" s="953"/>
      <c r="AD129" s="954"/>
      <c r="AE129" s="953"/>
      <c r="AF129" s="954"/>
      <c r="AG129" s="953"/>
      <c r="AH129" s="954"/>
      <c r="AI129" s="953"/>
      <c r="AJ129" s="954"/>
      <c r="AK129" s="953"/>
      <c r="AL129" s="954"/>
      <c r="AM129" s="953"/>
      <c r="AN129" s="954"/>
      <c r="AO129" s="953"/>
      <c r="AP129" s="954"/>
    </row>
    <row r="130" spans="2:42" x14ac:dyDescent="0.25">
      <c r="B130" s="371" t="s">
        <v>781</v>
      </c>
      <c r="C130" s="622"/>
      <c r="D130" s="622"/>
      <c r="E130" s="622"/>
      <c r="F130" s="622"/>
      <c r="G130" s="622"/>
      <c r="H130" s="952"/>
      <c r="I130" s="952"/>
      <c r="J130" s="952"/>
      <c r="K130" s="953"/>
      <c r="L130" s="954"/>
      <c r="M130" s="953"/>
      <c r="N130" s="954"/>
      <c r="O130" s="953"/>
      <c r="P130" s="954"/>
      <c r="Q130" s="953"/>
      <c r="R130" s="954"/>
      <c r="S130" s="953"/>
      <c r="T130" s="954"/>
      <c r="U130" s="953"/>
      <c r="V130" s="954"/>
      <c r="W130" s="953"/>
      <c r="X130" s="954"/>
      <c r="Y130" s="953"/>
      <c r="Z130" s="954"/>
      <c r="AA130" s="953"/>
      <c r="AB130" s="954"/>
      <c r="AC130" s="953"/>
      <c r="AD130" s="954"/>
      <c r="AE130" s="953"/>
      <c r="AF130" s="954"/>
      <c r="AG130" s="953"/>
      <c r="AH130" s="954"/>
      <c r="AI130" s="953"/>
      <c r="AJ130" s="954"/>
      <c r="AK130" s="953"/>
      <c r="AL130" s="954"/>
      <c r="AM130" s="953"/>
      <c r="AN130" s="954"/>
      <c r="AO130" s="953"/>
      <c r="AP130" s="954"/>
    </row>
  </sheetData>
  <mergeCells count="32">
    <mergeCell ref="AO113:AP113"/>
    <mergeCell ref="AE113:AF113"/>
    <mergeCell ref="AG113:AH113"/>
    <mergeCell ref="AI113:AJ113"/>
    <mergeCell ref="AK113:AL113"/>
    <mergeCell ref="AM113:AN113"/>
    <mergeCell ref="U113:V113"/>
    <mergeCell ref="W113:X113"/>
    <mergeCell ref="Y113:Z113"/>
    <mergeCell ref="AA113:AB113"/>
    <mergeCell ref="AC113:AD113"/>
    <mergeCell ref="K113:L113"/>
    <mergeCell ref="M113:N113"/>
    <mergeCell ref="O113:P113"/>
    <mergeCell ref="Q113:R113"/>
    <mergeCell ref="S113:T113"/>
    <mergeCell ref="Q4:R4"/>
    <mergeCell ref="S4:T4"/>
    <mergeCell ref="U4:V4"/>
    <mergeCell ref="K4:L4"/>
    <mergeCell ref="M4:N4"/>
    <mergeCell ref="O4:P4"/>
    <mergeCell ref="W4:X4"/>
    <mergeCell ref="Y4:Z4"/>
    <mergeCell ref="AA4:AB4"/>
    <mergeCell ref="AC4:AD4"/>
    <mergeCell ref="AE4:AF4"/>
    <mergeCell ref="AG4:AH4"/>
    <mergeCell ref="AI4:AJ4"/>
    <mergeCell ref="AK4:AL4"/>
    <mergeCell ref="AM4:AN4"/>
    <mergeCell ref="AO4:AP4"/>
  </mergeCells>
  <hyperlinks>
    <hyperlink ref="B5" location="'ADO-1'!A1" display="ADO-1"/>
    <hyperlink ref="B6" location="'ADO-2'!A1" display="ADO-2"/>
    <hyperlink ref="B7" location="'ADO-3'!A1" display="'ADO-3'!A1"/>
    <hyperlink ref="B8" location="'ADO-4'!A1" display="'ADO-4'!A1"/>
    <hyperlink ref="B9" location="'ADO-5'!A1" display="ADO-5"/>
    <hyperlink ref="B10" location="'ADO-6'!A1" display="ADO-6"/>
    <hyperlink ref="B16" location="'ADO-20'!A1" display="ADO-20"/>
    <hyperlink ref="B17:B24" location="'ADO-7'!A1" display="'ADO-7'!A1"/>
    <hyperlink ref="B17" location="'ADO-21'!A1" display="ADO-21"/>
    <hyperlink ref="B18" location="'ADO-22'!A1" display="ADO-22"/>
    <hyperlink ref="B19" location="'ADO-23'!A1" display="ADO-23"/>
    <hyperlink ref="B20" location="'ADO-24'!A1" display="ADO-24"/>
    <hyperlink ref="B21" location="'ADO-25'!A1" display="ADO-25"/>
    <hyperlink ref="B22" location="'ADO-26'!A1" display="ADO-26"/>
    <hyperlink ref="B23" location="'ADO-27'!A1" display="ADO-27"/>
    <hyperlink ref="B24" location="'ADO-28'!A1" display="ADO-28"/>
    <hyperlink ref="B34" location="'ADO-40'!A1" display="ADO-40"/>
    <hyperlink ref="B35" location="'ADO-41'!A1" display="ADO-41"/>
    <hyperlink ref="B36" location="'ADU-1'!A1" display="ADU-1"/>
    <hyperlink ref="B37" location="'ADU-2'!A1" display="'ADU-2'!A1"/>
    <hyperlink ref="B38" location="'ADU-3'!A1" display="ADU-3"/>
    <hyperlink ref="B39" location="'ADU-4'!A1" display="ADU-4"/>
    <hyperlink ref="B42" location="'ADU-7'!A1" display="ADU-7"/>
    <hyperlink ref="B45" location="'ADU-10'!A1" display="ADU-10"/>
    <hyperlink ref="B40" location="'ADU-5'!A1" display="ADU-5"/>
    <hyperlink ref="B43" location="'ADU-8'!A1" display="ADU-8"/>
    <hyperlink ref="B41" location="'ADU-6'!A1" display="ADU-6"/>
    <hyperlink ref="B44" location="'ADU-9'!A1" display="ADU-9"/>
    <hyperlink ref="B46" location="'ADU-11'!A1" display="ADU-11"/>
    <hyperlink ref="B47" location="'ADU-12'!A1" display="ADU-12"/>
    <hyperlink ref="B48" location="'ADU-13'!A1" display="ADU-13"/>
    <hyperlink ref="B49" location="'ADU-14'!A1" display="ADU-14"/>
    <hyperlink ref="B50" location="'ADU-15'!A1" display="ADU-15"/>
    <hyperlink ref="B51" location="'ADU-16'!A1" display="ADU-16"/>
    <hyperlink ref="B52" location="'ADU-17'!A1" display="ADU-17"/>
    <hyperlink ref="B53" location="'ADU-18'!A1" display="ADU-18"/>
    <hyperlink ref="B54" location="'ADU-19'!A1" display="ADU-19"/>
    <hyperlink ref="B55" location="'ADU-20'!A1" display="ADU-20"/>
    <hyperlink ref="B56" location="'ADU-21'!A1" display="ADU-21"/>
    <hyperlink ref="B57:B59" location="'ADU-21'!A1" display="'ADU-21'!A1"/>
    <hyperlink ref="B57" location="'ADU-22'!A1" display="ADU-22"/>
    <hyperlink ref="B58" location="'ADU-23'!A1" display="ADU-23"/>
    <hyperlink ref="B59" location="'ADU-24'!A1" display="ADU-24"/>
    <hyperlink ref="B70" location="'ADU-50'!A1" display="ADU-50"/>
    <hyperlink ref="B71" location="'ADU-51'!A1" display="ADU-51"/>
    <hyperlink ref="B72" location="'ADU-52'!A1" display="ADU-52"/>
    <hyperlink ref="B73" location="'ADU-53'!A1" display="ADU-53"/>
    <hyperlink ref="B74" location="'ADU-54'!A1" display="ADU-54"/>
    <hyperlink ref="B75" location="'ADU-55'!A1" display="ADU-55"/>
    <hyperlink ref="B76" location="'ADU-56'!A1" display="ADU-56"/>
    <hyperlink ref="B86" location="'ADU-70'!A1" display="ADU-70"/>
    <hyperlink ref="B87" location="'ADU-71'!A1" display="ADU-71"/>
    <hyperlink ref="B88" location="'ADU-72'!A1" display="ADU-72"/>
    <hyperlink ref="B89" location="'ADU-73'!A1" display="ADU-73"/>
    <hyperlink ref="B90" location="'ADU-74'!A1" display="ADU-74"/>
    <hyperlink ref="B91" location="'ADU-75'!A1" display="ADU-75"/>
    <hyperlink ref="B92" location="'ADU-76'!A1" display="ADU-76"/>
    <hyperlink ref="B94" location="'ADU-80'!A1" display="ADU-80"/>
    <hyperlink ref="B95" location="'ADU-81'!A1" display="ADU-81"/>
    <hyperlink ref="B96" location="'ADU-82'!A1" display="ADU-82"/>
    <hyperlink ref="B98" location="'ADU-90'!A1" display="ADU-90"/>
    <hyperlink ref="B99" location="'ADU-91'!A1" display="ADU-91"/>
    <hyperlink ref="B100" location="'ADU-92'!A1" display="ADU-92"/>
    <hyperlink ref="B104" location="'ADU-100'!A1" display="ADU-100"/>
    <hyperlink ref="B105" location="'ADU-101'!A1" display="ADU-101"/>
    <hyperlink ref="B106" location="'ADU-102'!A1" display="ADU-102"/>
    <hyperlink ref="B108" location="'ADU-121'!A1" display="ADU-121"/>
    <hyperlink ref="B109" location="'ADU-122'!A1" display="ADU-122"/>
    <hyperlink ref="B110" location="'ADU-123'!A1" display="ADU-123"/>
    <hyperlink ref="B111" location="'ADU-124'!A1" display="ADU-124"/>
    <hyperlink ref="B112" location="'ADU-140'!A1" display="ADU-140"/>
    <hyperlink ref="B64" location="'ADU-30'!A1" display="ADU-30"/>
    <hyperlink ref="B65" location="'ADU-31'!A1" display="ADU-31"/>
    <hyperlink ref="B66" location="'ADU-32'!A1" display="ADU-32"/>
    <hyperlink ref="B67" location="'ADU-33'!A1" display="ADU-33"/>
    <hyperlink ref="B97" location="'ADU-83'!A1" display="ADU-83"/>
    <hyperlink ref="B93" location="'ADU-77'!A1" display="ADU-77"/>
    <hyperlink ref="B11" location="'ADO-7'!A1" display="ADO-7"/>
    <hyperlink ref="B12" location="'ADO-8'!A1" display="ADO-8"/>
    <hyperlink ref="B13" location="'ADO-9'!A1" display="ADO-9"/>
    <hyperlink ref="B25" location="'ADO-29'!A1" display="ADO-29"/>
    <hyperlink ref="B26" location="'ADO-30'!A1" display="ADO-30"/>
    <hyperlink ref="B27" location="'ADO-31'!A1" display="ADO-31"/>
    <hyperlink ref="B28" location="'ADO-32'!A1" display="ADO-32"/>
    <hyperlink ref="B29" location="'ADO-33'!A1" display="ADO-33"/>
    <hyperlink ref="B107" location="'ADU-103'!A1" display="ADU-103"/>
    <hyperlink ref="B60" location="'ADU-25'!A1" display="ADU-25"/>
    <hyperlink ref="B101" location="'ADU-93'!A1" display="ADU-93"/>
    <hyperlink ref="B102" location="'ADU-94'!A1" display="ADU-94"/>
    <hyperlink ref="B103" location="'ADU-95'!A1" display="ADU-95"/>
    <hyperlink ref="B79" location="'ADU-59'!A1" display="ADU-59"/>
    <hyperlink ref="B78" location="'ADU-58'!A1" display="ADU-58"/>
    <hyperlink ref="B77" location="'ADU-57'!A1" display="ADU-57"/>
    <hyperlink ref="B80" location="'ADU-60'!A1" display="ADU-60"/>
    <hyperlink ref="B14" location="'ADO-10'!A1" display="ADO-10"/>
    <hyperlink ref="B15" location="'ADO-11'!A1" display="ADO-11"/>
    <hyperlink ref="B30" location="'ADO-34'!A1" display="ADO-34"/>
    <hyperlink ref="B31" location="'ADO-35'!A1" display="ADO-35"/>
    <hyperlink ref="B81" location="'ADU-61'!A1" display="ADU-61"/>
    <hyperlink ref="B32" location="'ADO-36'!A1" display="ADO-36"/>
    <hyperlink ref="B33" location="'ADO-39'!A1" display="ADO-39"/>
    <hyperlink ref="B68" location="'ADU-34'!A1" display="ADU-34"/>
    <hyperlink ref="B69" location="'ADU-35'!A1" display="ADU-35"/>
    <hyperlink ref="B82" location="'ADU-62'!A1" display="ADU-62"/>
    <hyperlink ref="B83" location="'ADU-63'!A1" display="ADU-63"/>
    <hyperlink ref="B84" location="'ADU-64'!A1" display="ADU-64"/>
    <hyperlink ref="B85" location="'ADU-65'!A1" display="ADU-65"/>
    <hyperlink ref="B61" location="'ADU-25'!A1" display="ADU-25"/>
    <hyperlink ref="B62" location="'ADU-25'!A1" display="ADU-25"/>
    <hyperlink ref="B63" location="'ADU-25'!A1" display="ADU-25"/>
    <hyperlink ref="B114" location="'ADA-1'!A1" display="ADA-1"/>
    <hyperlink ref="B115" location="'ADA-2'!A1" display="ADA-2"/>
    <hyperlink ref="B116" location="'ADA-3'!A1" display="ADA-3"/>
    <hyperlink ref="B117" location="'ADA-4'!A1" display="ADA-4"/>
    <hyperlink ref="B118" location="'ADA-5'!A1" display="ADA-5"/>
    <hyperlink ref="B119" location="'ADA-6'!A1" display="ADA-6"/>
    <hyperlink ref="B120" location="'ADA-7'!A1" display="ADA-7"/>
    <hyperlink ref="B121" location="'ADA-8'!A1" display="ADA-8"/>
    <hyperlink ref="B122" location="'ADA-9'!A1" display="ADA-9"/>
    <hyperlink ref="B123" location="'ADA-10'!A1" display="ADA-10"/>
    <hyperlink ref="B124" location="'ADA-11'!A1" display="ADA-11"/>
    <hyperlink ref="B125" location="'ADA-12'!A1" display="ADA-12"/>
    <hyperlink ref="B126" location="'ADA-13'!A1" display="ADA-13"/>
    <hyperlink ref="B127" location="'ADA-20'!A1" display="ADA-20"/>
    <hyperlink ref="B128:B130" location="'ADA-14'!A1" display="ADA-14"/>
    <hyperlink ref="B128" location="'ADA-21'!A1" display="ADA-21"/>
    <hyperlink ref="B129" location="'ADA-22'!A1" display="ADA-22"/>
    <hyperlink ref="B130" location="'ADA-23'!A1" display="ADA-23"/>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topLeftCell="A13" workbookViewId="0">
      <selection activeCell="G3" sqref="G3:H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7" width="11.7109375" style="6" customWidth="1"/>
    <col min="8"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844</v>
      </c>
      <c r="C2" s="1068"/>
      <c r="D2" s="1068"/>
      <c r="E2" s="1068"/>
      <c r="F2" s="7"/>
      <c r="G2" s="986" t="s">
        <v>751</v>
      </c>
      <c r="H2" s="986"/>
    </row>
    <row r="3" spans="1:28" ht="19.5" customHeight="1" x14ac:dyDescent="0.25">
      <c r="A3" s="473" t="s">
        <v>743</v>
      </c>
      <c r="B3" s="987" t="s">
        <v>747</v>
      </c>
      <c r="C3" s="987"/>
      <c r="D3" s="987"/>
      <c r="E3" s="987"/>
      <c r="F3" s="7"/>
      <c r="G3" s="986" t="s">
        <v>752</v>
      </c>
      <c r="H3" s="986"/>
    </row>
    <row r="4" spans="1:28" ht="19.5" customHeight="1" x14ac:dyDescent="0.25">
      <c r="A4" s="474" t="s">
        <v>292</v>
      </c>
      <c r="B4" s="996" t="s">
        <v>37</v>
      </c>
      <c r="C4" s="996"/>
      <c r="D4" s="996"/>
      <c r="E4" s="996"/>
      <c r="F4" s="7"/>
      <c r="G4" s="986" t="s">
        <v>753</v>
      </c>
      <c r="H4" s="986"/>
    </row>
    <row r="5" spans="1:28" ht="19.5" customHeight="1" x14ac:dyDescent="0.25">
      <c r="A5" s="474"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426</v>
      </c>
      <c r="C7" s="994"/>
      <c r="D7" s="994"/>
      <c r="E7" s="994"/>
      <c r="F7" s="7"/>
      <c r="G7" s="995" t="s">
        <v>756</v>
      </c>
      <c r="H7" s="995"/>
      <c r="I7" s="475"/>
      <c r="J7" s="475"/>
      <c r="Z7" s="631"/>
      <c r="AA7" s="632"/>
      <c r="AB7" s="357"/>
    </row>
    <row r="8" spans="1:28" ht="24" customHeight="1" x14ac:dyDescent="0.25">
      <c r="A8" s="477" t="s">
        <v>1</v>
      </c>
      <c r="B8" s="967" t="s">
        <v>83</v>
      </c>
      <c r="C8" s="967"/>
      <c r="D8" s="967"/>
      <c r="E8" s="967"/>
      <c r="G8" s="997" t="s">
        <v>936</v>
      </c>
      <c r="Z8" s="1028" t="s">
        <v>611</v>
      </c>
      <c r="AA8" s="1029"/>
      <c r="AB8" s="357">
        <v>0.26819999999999999</v>
      </c>
    </row>
    <row r="9" spans="1:28" ht="24" customHeight="1" x14ac:dyDescent="0.25">
      <c r="A9" s="477" t="s">
        <v>0</v>
      </c>
      <c r="B9" s="967" t="s">
        <v>1094</v>
      </c>
      <c r="C9" s="967"/>
      <c r="D9" s="967"/>
      <c r="E9" s="967"/>
      <c r="G9" s="997"/>
      <c r="Z9" s="1028" t="s">
        <v>612</v>
      </c>
      <c r="AA9" s="1029"/>
      <c r="AB9" s="357">
        <v>3.1300000000000001E-2</v>
      </c>
    </row>
    <row r="10" spans="1:28" ht="36.75" customHeight="1" x14ac:dyDescent="0.25">
      <c r="A10" s="477" t="s">
        <v>2</v>
      </c>
      <c r="B10" s="1034" t="s">
        <v>1270</v>
      </c>
      <c r="C10" s="1034"/>
      <c r="D10" s="1034"/>
      <c r="E10" s="1034"/>
      <c r="G10" s="997"/>
      <c r="Z10" s="1028"/>
      <c r="AA10" s="1029"/>
      <c r="AB10" s="357"/>
    </row>
    <row r="11" spans="1:28" ht="35.25" customHeight="1" x14ac:dyDescent="0.25">
      <c r="A11" s="477" t="s">
        <v>29</v>
      </c>
      <c r="B11" s="1035"/>
      <c r="C11" s="1035"/>
      <c r="D11" s="1035"/>
      <c r="E11" s="1035"/>
      <c r="G11" s="254">
        <v>4</v>
      </c>
      <c r="H11" s="254" t="s">
        <v>215</v>
      </c>
      <c r="Z11" s="1028" t="s">
        <v>613</v>
      </c>
      <c r="AA11" s="1029"/>
      <c r="AB11" s="357">
        <v>0.26819999999999999</v>
      </c>
    </row>
    <row r="12" spans="1:28" ht="30" customHeight="1" x14ac:dyDescent="0.25">
      <c r="A12" s="477" t="s">
        <v>14</v>
      </c>
      <c r="B12" s="1010" t="s">
        <v>939</v>
      </c>
      <c r="C12" s="1010"/>
      <c r="D12" s="1010"/>
      <c r="E12" s="1010"/>
      <c r="G12" s="471">
        <f>K23</f>
        <v>31.5</v>
      </c>
      <c r="H12" s="471" t="s">
        <v>513</v>
      </c>
      <c r="Z12" s="1028" t="s">
        <v>614</v>
      </c>
      <c r="AA12" s="1029"/>
      <c r="AB12" s="357">
        <v>1.18E-2</v>
      </c>
    </row>
    <row r="13" spans="1:28" ht="30" customHeight="1" x14ac:dyDescent="0.25">
      <c r="A13" s="477" t="s">
        <v>3</v>
      </c>
      <c r="B13" s="1010" t="s">
        <v>943</v>
      </c>
      <c r="C13" s="1010"/>
      <c r="D13" s="1010"/>
      <c r="E13" s="1010"/>
      <c r="G13" s="277"/>
      <c r="H13" s="278" t="s">
        <v>427</v>
      </c>
      <c r="Z13" s="1028" t="s">
        <v>615</v>
      </c>
      <c r="AA13" s="1029"/>
      <c r="AB13" s="358">
        <f>AB15/0.55</f>
        <v>0.50363636363636366</v>
      </c>
    </row>
    <row r="14" spans="1:28" ht="30" customHeight="1" x14ac:dyDescent="0.25">
      <c r="A14" s="477" t="s">
        <v>15</v>
      </c>
      <c r="B14" s="1010"/>
      <c r="C14" s="1010"/>
      <c r="D14" s="1010"/>
      <c r="E14" s="1010"/>
      <c r="Z14" s="1028" t="s">
        <v>616</v>
      </c>
      <c r="AA14" s="1029"/>
      <c r="AB14" s="357">
        <v>0.26819999999999999</v>
      </c>
    </row>
    <row r="15" spans="1:28" ht="30" customHeight="1" x14ac:dyDescent="0.25">
      <c r="A15" s="477" t="s">
        <v>4</v>
      </c>
      <c r="B15" s="1010">
        <v>2018</v>
      </c>
      <c r="C15" s="1010"/>
      <c r="D15" s="1010"/>
      <c r="E15" s="1010"/>
      <c r="G15" s="59" t="s">
        <v>139</v>
      </c>
      <c r="H15" s="59" t="s">
        <v>140</v>
      </c>
      <c r="I15" s="59" t="s">
        <v>141</v>
      </c>
      <c r="J15" s="59" t="s">
        <v>498</v>
      </c>
      <c r="K15" s="60" t="s">
        <v>142</v>
      </c>
      <c r="L15" s="60" t="s">
        <v>143</v>
      </c>
      <c r="M15" s="60" t="s">
        <v>119</v>
      </c>
      <c r="Z15" s="1028" t="s">
        <v>578</v>
      </c>
      <c r="AA15" s="1029"/>
      <c r="AB15" s="357">
        <v>0.27700000000000002</v>
      </c>
    </row>
    <row r="16" spans="1:28" ht="30" customHeight="1" x14ac:dyDescent="0.25">
      <c r="A16" s="477" t="s">
        <v>5</v>
      </c>
      <c r="B16" s="1010">
        <v>2018</v>
      </c>
      <c r="C16" s="1010"/>
      <c r="D16" s="1010"/>
      <c r="E16" s="1010"/>
      <c r="G16" s="59">
        <f>SUM(G12:L12)</f>
        <v>31.5</v>
      </c>
      <c r="H16" s="59">
        <f>G16*J16</f>
        <v>28350</v>
      </c>
      <c r="I16" s="59">
        <v>1.2</v>
      </c>
      <c r="J16" s="59">
        <v>900</v>
      </c>
      <c r="K16" s="60">
        <v>0.24</v>
      </c>
      <c r="L16" s="60">
        <v>65</v>
      </c>
      <c r="M16" s="359">
        <f>AB13</f>
        <v>0.50363636363636366</v>
      </c>
      <c r="Z16" s="1028" t="s">
        <v>579</v>
      </c>
      <c r="AA16" s="1029"/>
      <c r="AB16" s="357">
        <v>0.20269999999999999</v>
      </c>
    </row>
    <row r="17" spans="1:11" ht="30" customHeight="1" x14ac:dyDescent="0.25">
      <c r="A17" s="477" t="s">
        <v>6</v>
      </c>
      <c r="B17" s="1000">
        <f>G16*1000*I16</f>
        <v>37800</v>
      </c>
      <c r="C17" s="1000"/>
      <c r="D17" s="1000"/>
      <c r="E17" s="1000"/>
    </row>
    <row r="18" spans="1:11" ht="30" customHeight="1" x14ac:dyDescent="0.25">
      <c r="A18" s="477" t="s">
        <v>7</v>
      </c>
      <c r="B18" s="1000">
        <f>G11*I29</f>
        <v>1872</v>
      </c>
      <c r="C18" s="1000"/>
      <c r="D18" s="1000"/>
      <c r="E18" s="1000"/>
      <c r="G18" s="750" t="s">
        <v>1260</v>
      </c>
    </row>
    <row r="19" spans="1:11" ht="30" customHeight="1" x14ac:dyDescent="0.25">
      <c r="A19" s="99" t="s">
        <v>307</v>
      </c>
      <c r="B19" s="1039"/>
      <c r="C19" s="1040"/>
      <c r="D19" s="1040"/>
      <c r="E19" s="1040"/>
      <c r="F19" s="33"/>
      <c r="G19" s="989" t="s">
        <v>1261</v>
      </c>
      <c r="H19" s="990"/>
      <c r="I19" s="990"/>
      <c r="J19" s="991"/>
      <c r="K19" s="267">
        <v>3</v>
      </c>
    </row>
    <row r="20" spans="1:11" ht="30" customHeight="1" x14ac:dyDescent="0.25">
      <c r="A20" s="96" t="s">
        <v>306</v>
      </c>
      <c r="B20" s="1041">
        <f>H16</f>
        <v>28350</v>
      </c>
      <c r="C20" s="1042"/>
      <c r="D20" s="1042"/>
      <c r="E20" s="1042"/>
      <c r="G20" s="989" t="s">
        <v>1262</v>
      </c>
      <c r="H20" s="990"/>
      <c r="I20" s="990"/>
      <c r="J20" s="991"/>
      <c r="K20" s="267">
        <v>10.199999999999999</v>
      </c>
    </row>
    <row r="21" spans="1:11" ht="30" customHeight="1" x14ac:dyDescent="0.25">
      <c r="A21" s="477" t="s">
        <v>8</v>
      </c>
      <c r="B21" s="1000">
        <f>B20*K16</f>
        <v>6804</v>
      </c>
      <c r="C21" s="1000"/>
      <c r="D21" s="1000"/>
      <c r="E21" s="1000"/>
      <c r="G21" s="989" t="s">
        <v>1263</v>
      </c>
      <c r="H21" s="990"/>
      <c r="I21" s="990"/>
      <c r="J21" s="991"/>
      <c r="K21" s="751">
        <v>10.199999999999999</v>
      </c>
    </row>
    <row r="22" spans="1:11" ht="30" customHeight="1" x14ac:dyDescent="0.25">
      <c r="A22" s="477" t="s">
        <v>9</v>
      </c>
      <c r="B22" s="1000">
        <f>B20/1000*L16*4</f>
        <v>7371</v>
      </c>
      <c r="C22" s="1000"/>
      <c r="D22" s="1000"/>
      <c r="E22" s="1000"/>
      <c r="G22" s="989" t="s">
        <v>1264</v>
      </c>
      <c r="H22" s="990"/>
      <c r="I22" s="990"/>
      <c r="J22" s="991"/>
      <c r="K22" s="751">
        <v>8.1</v>
      </c>
    </row>
    <row r="23" spans="1:11" ht="30" customHeight="1" x14ac:dyDescent="0.25">
      <c r="A23" s="477" t="s">
        <v>301</v>
      </c>
      <c r="B23" s="1016">
        <f>B17/(B21+B22)</f>
        <v>2.6666666666666665</v>
      </c>
      <c r="C23" s="1016"/>
      <c r="D23" s="1016"/>
      <c r="E23" s="1016"/>
      <c r="H23" s="79"/>
      <c r="I23" s="79"/>
      <c r="J23" s="79"/>
      <c r="K23" s="79">
        <f>SUM(K19:K22)</f>
        <v>31.5</v>
      </c>
    </row>
    <row r="24" spans="1:11" ht="30" customHeight="1" x14ac:dyDescent="0.25">
      <c r="A24" s="477" t="s">
        <v>302</v>
      </c>
      <c r="B24" s="1017">
        <f>(B17-B18)/(B21+B22)</f>
        <v>2.5346031746031747</v>
      </c>
      <c r="C24" s="1017"/>
      <c r="D24" s="1017"/>
      <c r="E24" s="1017"/>
    </row>
    <row r="25" spans="1:11" ht="30" customHeight="1" x14ac:dyDescent="0.25">
      <c r="A25" s="100" t="s">
        <v>305</v>
      </c>
      <c r="B25" s="1070">
        <f>B20/1000*M16</f>
        <v>14.27809090909091</v>
      </c>
      <c r="C25" s="1070"/>
      <c r="D25" s="1070"/>
      <c r="E25" s="1070"/>
      <c r="G25" s="267" t="s">
        <v>285</v>
      </c>
      <c r="H25" s="267"/>
      <c r="I25" s="267">
        <v>3</v>
      </c>
    </row>
    <row r="26" spans="1:11" ht="30" customHeight="1" x14ac:dyDescent="0.25">
      <c r="A26" s="101" t="s">
        <v>303</v>
      </c>
      <c r="B26" s="1071">
        <f>B25/'[3]Objectifs CO2'!C6</f>
        <v>2.99210983404508E-2</v>
      </c>
      <c r="C26" s="1071"/>
      <c r="D26" s="1071"/>
      <c r="E26" s="1071"/>
      <c r="G26" s="989" t="s">
        <v>286</v>
      </c>
      <c r="H26" s="991"/>
      <c r="I26" s="269">
        <f>I25*P22*1000</f>
        <v>0</v>
      </c>
    </row>
    <row r="27" spans="1:11" ht="30" customHeight="1" x14ac:dyDescent="0.25">
      <c r="A27" s="101" t="s">
        <v>304</v>
      </c>
      <c r="B27" s="1056">
        <f>B25/'[3]Objectifs CO2'!C4</f>
        <v>1.4960549170225401E-3</v>
      </c>
      <c r="C27" s="1057"/>
      <c r="D27" s="1057"/>
      <c r="E27" s="1057"/>
      <c r="G27" s="989" t="s">
        <v>287</v>
      </c>
      <c r="H27" s="991"/>
      <c r="I27" s="269">
        <f>K22*L22*M22*8</f>
        <v>0</v>
      </c>
    </row>
    <row r="28" spans="1:11" ht="30" customHeight="1" x14ac:dyDescent="0.25">
      <c r="A28" s="101" t="s">
        <v>22</v>
      </c>
      <c r="B28" s="999" t="s">
        <v>10</v>
      </c>
      <c r="C28" s="999"/>
      <c r="D28" s="999"/>
      <c r="E28" s="999"/>
      <c r="G28" s="267" t="s">
        <v>288</v>
      </c>
      <c r="H28" s="267"/>
      <c r="I28" s="269">
        <v>468</v>
      </c>
    </row>
    <row r="29" spans="1:11" ht="30" customHeight="1" x14ac:dyDescent="0.25">
      <c r="A29" s="101" t="s">
        <v>257</v>
      </c>
      <c r="B29" s="999"/>
      <c r="C29" s="999"/>
      <c r="D29" s="999"/>
      <c r="E29" s="999"/>
      <c r="G29" s="1128" t="s">
        <v>289</v>
      </c>
      <c r="H29" s="1129"/>
      <c r="I29" s="269">
        <f>I26-I27+I28</f>
        <v>468</v>
      </c>
    </row>
    <row r="30" spans="1:11" x14ac:dyDescent="0.25">
      <c r="G30" s="1127" t="s">
        <v>546</v>
      </c>
      <c r="H30" s="1127"/>
      <c r="I30" s="270">
        <v>0</v>
      </c>
    </row>
    <row r="31" spans="1:11" x14ac:dyDescent="0.25">
      <c r="A31" s="603" t="s">
        <v>1065</v>
      </c>
      <c r="B31" s="1003" t="s">
        <v>675</v>
      </c>
      <c r="C31" s="1003"/>
      <c r="D31" s="1003"/>
      <c r="E31" s="470"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3">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5:E5"/>
    <mergeCell ref="G5:H5"/>
    <mergeCell ref="B6:E6"/>
    <mergeCell ref="G6:H6"/>
    <mergeCell ref="A1:E1"/>
    <mergeCell ref="B2:E2"/>
    <mergeCell ref="G2:H2"/>
    <mergeCell ref="B3:E3"/>
    <mergeCell ref="G3:H3"/>
    <mergeCell ref="B4:E4"/>
    <mergeCell ref="G4:H4"/>
    <mergeCell ref="B7:E7"/>
    <mergeCell ref="G7:H7"/>
    <mergeCell ref="B8:E8"/>
    <mergeCell ref="G8:G10"/>
    <mergeCell ref="B9:E9"/>
    <mergeCell ref="B10:E10"/>
    <mergeCell ref="B14:E14"/>
    <mergeCell ref="B15:E15"/>
    <mergeCell ref="B16:E16"/>
    <mergeCell ref="B11:E11"/>
    <mergeCell ref="B12:E12"/>
    <mergeCell ref="B13:E13"/>
    <mergeCell ref="B28:E28"/>
    <mergeCell ref="B17:E17"/>
    <mergeCell ref="B18:E18"/>
    <mergeCell ref="B19:E19"/>
    <mergeCell ref="B20:E20"/>
    <mergeCell ref="B21:E21"/>
    <mergeCell ref="B22:E22"/>
    <mergeCell ref="B23:E23"/>
    <mergeCell ref="B24:E24"/>
    <mergeCell ref="B25:E25"/>
    <mergeCell ref="B26:E26"/>
    <mergeCell ref="B27:E27"/>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G19:J19"/>
    <mergeCell ref="G20:J20"/>
    <mergeCell ref="G21:J21"/>
    <mergeCell ref="G22:J22"/>
    <mergeCell ref="G26:H26"/>
    <mergeCell ref="G27:H27"/>
    <mergeCell ref="G29:H29"/>
    <mergeCell ref="G30:H30"/>
    <mergeCell ref="Z5:AB5"/>
    <mergeCell ref="Z6:AA6"/>
    <mergeCell ref="Z8:AA8"/>
    <mergeCell ref="Z9:AA9"/>
    <mergeCell ref="Z10:AA10"/>
    <mergeCell ref="Z11:AA11"/>
    <mergeCell ref="Z12:AA12"/>
    <mergeCell ref="Z13:AA13"/>
    <mergeCell ref="Z14:AA14"/>
    <mergeCell ref="Z15:AA15"/>
    <mergeCell ref="Z16:AA16"/>
  </mergeCells>
  <conditionalFormatting sqref="B5">
    <cfRule type="containsText" dxfId="110" priority="1" operator="containsText" text="Terminé">
      <formula>NOT(ISERROR(SEARCH("Terminé",B5)))</formula>
    </cfRule>
    <cfRule type="containsText" dxfId="109" priority="2" operator="containsText" text="En cours">
      <formula>NOT(ISERROR(SEARCH("En cours",B5)))</formula>
    </cfRule>
    <cfRule type="containsText" dxfId="10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topLeftCell="A6" zoomScaleNormal="100" workbookViewId="0">
      <selection activeCell="B9" sqref="B9:E9"/>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798</v>
      </c>
      <c r="C2" s="1068"/>
      <c r="D2" s="1068"/>
      <c r="E2" s="1068"/>
      <c r="F2" s="7"/>
      <c r="G2" s="986" t="s">
        <v>751</v>
      </c>
      <c r="H2" s="986"/>
    </row>
    <row r="3" spans="1:28" ht="19.5" customHeight="1" x14ac:dyDescent="0.25">
      <c r="A3" s="409" t="s">
        <v>743</v>
      </c>
      <c r="B3" s="987" t="s">
        <v>747</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417</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400"/>
      <c r="J7" s="400"/>
      <c r="Z7" s="401"/>
      <c r="AA7" s="402"/>
      <c r="AB7" s="357"/>
    </row>
    <row r="8" spans="1:28" ht="24" customHeight="1" x14ac:dyDescent="0.25">
      <c r="A8" s="107" t="s">
        <v>1</v>
      </c>
      <c r="B8" s="967" t="s">
        <v>308</v>
      </c>
      <c r="C8" s="967"/>
      <c r="D8" s="967"/>
      <c r="E8" s="967"/>
      <c r="G8" s="997" t="s">
        <v>936</v>
      </c>
      <c r="Z8" s="1028" t="s">
        <v>611</v>
      </c>
      <c r="AA8" s="1029"/>
      <c r="AB8" s="357">
        <v>0.26819999999999999</v>
      </c>
    </row>
    <row r="9" spans="1:28" ht="24" customHeight="1" x14ac:dyDescent="0.25">
      <c r="A9" s="107" t="s">
        <v>0</v>
      </c>
      <c r="B9" s="967" t="s">
        <v>1321</v>
      </c>
      <c r="C9" s="967"/>
      <c r="D9" s="967"/>
      <c r="E9" s="967"/>
      <c r="G9" s="997"/>
      <c r="Z9" s="1028" t="s">
        <v>612</v>
      </c>
      <c r="AA9" s="1029"/>
      <c r="AB9" s="357">
        <v>3.1300000000000001E-2</v>
      </c>
    </row>
    <row r="10" spans="1:28" ht="50.25" customHeight="1" x14ac:dyDescent="0.25">
      <c r="A10" s="107" t="s">
        <v>2</v>
      </c>
      <c r="B10" s="1034" t="s">
        <v>313</v>
      </c>
      <c r="C10" s="1035"/>
      <c r="D10" s="1035"/>
      <c r="E10" s="1035"/>
      <c r="G10" s="997"/>
      <c r="M10" s="7"/>
      <c r="Z10" s="1028"/>
      <c r="AA10" s="1029"/>
      <c r="AB10" s="357"/>
    </row>
    <row r="11" spans="1:28" ht="42.75" customHeight="1" x14ac:dyDescent="0.25">
      <c r="A11" s="107" t="s">
        <v>29</v>
      </c>
      <c r="B11" s="1034" t="s">
        <v>314</v>
      </c>
      <c r="C11" s="1035"/>
      <c r="D11" s="1035"/>
      <c r="E11" s="1035"/>
      <c r="G11" s="254">
        <v>8083</v>
      </c>
      <c r="H11" s="131" t="s">
        <v>577</v>
      </c>
      <c r="Z11" s="1028" t="s">
        <v>613</v>
      </c>
      <c r="AA11" s="1029"/>
      <c r="AB11" s="357">
        <v>0.26819999999999999</v>
      </c>
    </row>
    <row r="12" spans="1:28" ht="30" customHeight="1" x14ac:dyDescent="0.25">
      <c r="A12" s="107" t="s">
        <v>14</v>
      </c>
      <c r="B12" s="1010" t="s">
        <v>939</v>
      </c>
      <c r="C12" s="1010"/>
      <c r="D12" s="1010"/>
      <c r="E12" s="1010"/>
      <c r="Z12" s="1028" t="s">
        <v>614</v>
      </c>
      <c r="AA12" s="1029"/>
      <c r="AB12" s="357">
        <v>1.18E-2</v>
      </c>
    </row>
    <row r="13" spans="1:28" ht="30" customHeight="1" x14ac:dyDescent="0.25">
      <c r="A13" s="107" t="s">
        <v>3</v>
      </c>
      <c r="B13" s="1011" t="s">
        <v>943</v>
      </c>
      <c r="C13" s="1011"/>
      <c r="D13" s="1011"/>
      <c r="E13" s="1011"/>
      <c r="Z13" s="1028" t="s">
        <v>615</v>
      </c>
      <c r="AA13" s="1029"/>
      <c r="AB13" s="358">
        <f>AB15/0.55</f>
        <v>0.50363636363636366</v>
      </c>
    </row>
    <row r="14" spans="1:28" ht="30" customHeight="1" x14ac:dyDescent="0.25">
      <c r="A14" s="107" t="s">
        <v>15</v>
      </c>
      <c r="B14" s="1010"/>
      <c r="C14" s="1010"/>
      <c r="D14" s="1010"/>
      <c r="E14" s="1010"/>
      <c r="G14" s="60" t="s">
        <v>309</v>
      </c>
      <c r="H14" s="60" t="s">
        <v>310</v>
      </c>
      <c r="I14" s="60" t="s">
        <v>311</v>
      </c>
      <c r="J14" s="60" t="s">
        <v>312</v>
      </c>
      <c r="K14" s="60" t="s">
        <v>176</v>
      </c>
      <c r="L14" s="60"/>
      <c r="Z14" s="1028" t="s">
        <v>616</v>
      </c>
      <c r="AA14" s="1029"/>
      <c r="AB14" s="357">
        <v>0.26819999999999999</v>
      </c>
    </row>
    <row r="15" spans="1:28" ht="30" customHeight="1" x14ac:dyDescent="0.25">
      <c r="A15" s="107" t="s">
        <v>4</v>
      </c>
      <c r="B15" s="1010">
        <v>2014</v>
      </c>
      <c r="C15" s="1010"/>
      <c r="D15" s="1010"/>
      <c r="E15" s="1010"/>
      <c r="G15" s="60">
        <v>278425</v>
      </c>
      <c r="H15" s="60">
        <v>8083</v>
      </c>
      <c r="I15" s="69">
        <f>I19</f>
        <v>10932.480000000001</v>
      </c>
      <c r="J15" s="359">
        <f>AB13</f>
        <v>0.50363636363636366</v>
      </c>
      <c r="K15" s="60">
        <v>0.04</v>
      </c>
      <c r="L15" s="60"/>
      <c r="Z15" s="1028" t="s">
        <v>578</v>
      </c>
      <c r="AA15" s="1029"/>
      <c r="AB15" s="357">
        <v>0.27700000000000002</v>
      </c>
    </row>
    <row r="16" spans="1:28" ht="30" customHeight="1" x14ac:dyDescent="0.25">
      <c r="A16" s="107" t="s">
        <v>5</v>
      </c>
      <c r="B16" s="1010">
        <v>2015</v>
      </c>
      <c r="C16" s="1010"/>
      <c r="D16" s="1010"/>
      <c r="E16" s="1010"/>
      <c r="Z16" s="1028" t="s">
        <v>579</v>
      </c>
      <c r="AA16" s="1029"/>
      <c r="AB16" s="357">
        <v>0.20269999999999999</v>
      </c>
    </row>
    <row r="17" spans="1:10" ht="30" customHeight="1" x14ac:dyDescent="0.25">
      <c r="A17" s="107" t="s">
        <v>6</v>
      </c>
      <c r="B17" s="1000">
        <f>3500000*4.4/G15*H15</f>
        <v>447079.82401005662</v>
      </c>
      <c r="C17" s="1000"/>
      <c r="D17" s="1000"/>
      <c r="E17" s="1000"/>
      <c r="H17" s="116">
        <v>0.4</v>
      </c>
      <c r="I17" s="116">
        <v>6</v>
      </c>
      <c r="J17" s="6" t="s">
        <v>388</v>
      </c>
    </row>
    <row r="18" spans="1:10" ht="30" customHeight="1" x14ac:dyDescent="0.25">
      <c r="A18" s="107" t="s">
        <v>7</v>
      </c>
      <c r="B18" s="1000">
        <f>B17*0.3</f>
        <v>134123.94720301699</v>
      </c>
      <c r="C18" s="1000"/>
      <c r="D18" s="1000"/>
      <c r="E18" s="1000"/>
      <c r="H18" s="116">
        <v>0.2</v>
      </c>
      <c r="I18" s="116">
        <v>12</v>
      </c>
      <c r="J18" s="6" t="s">
        <v>389</v>
      </c>
    </row>
    <row r="19" spans="1:10" ht="30" customHeight="1" x14ac:dyDescent="0.25">
      <c r="A19" s="99" t="s">
        <v>307</v>
      </c>
      <c r="B19" s="1013">
        <v>0</v>
      </c>
      <c r="C19" s="1014"/>
      <c r="D19" s="1014"/>
      <c r="E19" s="1014"/>
      <c r="H19" s="116">
        <f>H17*I17+H18*I18</f>
        <v>4.8000000000000007</v>
      </c>
      <c r="I19" s="157">
        <f>H19*365*24*0.26</f>
        <v>10932.480000000001</v>
      </c>
    </row>
    <row r="20" spans="1:10" ht="30" customHeight="1" x14ac:dyDescent="0.25">
      <c r="A20" s="96" t="s">
        <v>306</v>
      </c>
      <c r="B20" s="1006">
        <f>I15*H15/G15*1000</f>
        <v>317382.54768788727</v>
      </c>
      <c r="C20" s="1007"/>
      <c r="D20" s="1007"/>
      <c r="E20" s="1007"/>
      <c r="G20" s="2"/>
      <c r="H20" s="2"/>
    </row>
    <row r="21" spans="1:10" ht="30" customHeight="1" x14ac:dyDescent="0.25">
      <c r="A21" s="107" t="s">
        <v>8</v>
      </c>
      <c r="B21" s="1000">
        <f>B20*K15</f>
        <v>12695.301907515492</v>
      </c>
      <c r="C21" s="1000"/>
      <c r="D21" s="1000"/>
      <c r="E21" s="1000"/>
    </row>
    <row r="22" spans="1:10" ht="30" customHeight="1" x14ac:dyDescent="0.25">
      <c r="A22" s="107" t="s">
        <v>9</v>
      </c>
      <c r="B22" s="1000"/>
      <c r="C22" s="1000"/>
      <c r="D22" s="1000"/>
      <c r="E22" s="1000"/>
    </row>
    <row r="23" spans="1:10" ht="30" customHeight="1" x14ac:dyDescent="0.25">
      <c r="A23" s="107" t="s">
        <v>301</v>
      </c>
      <c r="B23" s="1016">
        <f>B17/(B21+B22)</f>
        <v>35.21616321273855</v>
      </c>
      <c r="C23" s="1016"/>
      <c r="D23" s="1016"/>
      <c r="E23" s="1016"/>
    </row>
    <row r="24" spans="1:10" ht="30" customHeight="1" x14ac:dyDescent="0.25">
      <c r="A24" s="107" t="s">
        <v>302</v>
      </c>
      <c r="B24" s="1017">
        <f>(B17-B18)/(B21+B22)</f>
        <v>24.651314248916982</v>
      </c>
      <c r="C24" s="1017"/>
      <c r="D24" s="1017"/>
      <c r="E24" s="1017"/>
    </row>
    <row r="25" spans="1:10" ht="30" customHeight="1" x14ac:dyDescent="0.25">
      <c r="A25" s="100" t="s">
        <v>305</v>
      </c>
      <c r="B25" s="1070">
        <f>B20/1000*J15</f>
        <v>159.84539219917232</v>
      </c>
      <c r="C25" s="1070"/>
      <c r="D25" s="1070"/>
      <c r="E25" s="1070"/>
    </row>
    <row r="26" spans="1:10" ht="30" customHeight="1" x14ac:dyDescent="0.25">
      <c r="A26" s="101" t="s">
        <v>303</v>
      </c>
      <c r="B26" s="1021">
        <f>B25/'Objectifs CO2'!C7</f>
        <v>0.14744716133853383</v>
      </c>
      <c r="C26" s="1021"/>
      <c r="D26" s="1021"/>
      <c r="E26" s="1021"/>
    </row>
    <row r="27" spans="1:10" ht="30" customHeight="1" x14ac:dyDescent="0.25">
      <c r="A27" s="101" t="s">
        <v>304</v>
      </c>
      <c r="B27" s="1044">
        <f>B25/'Objectifs CO2'!C4</f>
        <v>7.3723580669266906E-3</v>
      </c>
      <c r="C27" s="1045"/>
      <c r="D27" s="1045"/>
      <c r="E27" s="1045"/>
    </row>
    <row r="28" spans="1:10" ht="30" customHeight="1" x14ac:dyDescent="0.25">
      <c r="A28" s="101" t="s">
        <v>22</v>
      </c>
      <c r="B28" s="1010"/>
      <c r="C28" s="1010"/>
      <c r="D28" s="1010"/>
      <c r="E28" s="1010"/>
    </row>
    <row r="29" spans="1:10" ht="30" customHeight="1" x14ac:dyDescent="0.25">
      <c r="A29" s="101" t="s">
        <v>257</v>
      </c>
      <c r="B29" s="999"/>
      <c r="C29" s="999"/>
      <c r="D29" s="999"/>
      <c r="E29" s="999"/>
    </row>
    <row r="31" spans="1:10" x14ac:dyDescent="0.25">
      <c r="A31" s="603" t="s">
        <v>1065</v>
      </c>
      <c r="B31" s="1003" t="s">
        <v>675</v>
      </c>
      <c r="C31" s="1003"/>
      <c r="D31" s="1003"/>
      <c r="E31" s="56" t="s">
        <v>676</v>
      </c>
    </row>
    <row r="32" spans="1:10"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B5:E5"/>
    <mergeCell ref="B6:E6"/>
    <mergeCell ref="B7:E7"/>
    <mergeCell ref="B12:E12"/>
    <mergeCell ref="B17:E17"/>
    <mergeCell ref="B29:E29"/>
    <mergeCell ref="B18:E18"/>
    <mergeCell ref="B19:E19"/>
    <mergeCell ref="B20:E20"/>
    <mergeCell ref="B21:E21"/>
    <mergeCell ref="B22:E22"/>
    <mergeCell ref="B23:E23"/>
    <mergeCell ref="B24:E24"/>
    <mergeCell ref="B25:E25"/>
    <mergeCell ref="B26:E26"/>
    <mergeCell ref="B27:E27"/>
    <mergeCell ref="B28:E28"/>
    <mergeCell ref="B36:D36"/>
    <mergeCell ref="B13:E13"/>
    <mergeCell ref="B14:E14"/>
    <mergeCell ref="B15:E15"/>
    <mergeCell ref="B16:E16"/>
    <mergeCell ref="G8:G10"/>
    <mergeCell ref="Z5:AB5"/>
    <mergeCell ref="Z6:AA6"/>
    <mergeCell ref="Z8:AA8"/>
    <mergeCell ref="Z9:AA9"/>
    <mergeCell ref="Z10:AA10"/>
    <mergeCell ref="G7:H7"/>
    <mergeCell ref="G6:H6"/>
    <mergeCell ref="Z16:AA16"/>
    <mergeCell ref="Z11:AA11"/>
    <mergeCell ref="Z12:AA12"/>
    <mergeCell ref="Z13:AA13"/>
    <mergeCell ref="Z14:AA14"/>
    <mergeCell ref="Z15:AA15"/>
    <mergeCell ref="B11:E11"/>
    <mergeCell ref="B8:E8"/>
    <mergeCell ref="B9:E9"/>
    <mergeCell ref="B10:E10"/>
    <mergeCell ref="A1:E1"/>
    <mergeCell ref="B2:E2"/>
    <mergeCell ref="G2:H2"/>
    <mergeCell ref="B3:E3"/>
    <mergeCell ref="G3:H3"/>
    <mergeCell ref="B42:D42"/>
    <mergeCell ref="B44:D44"/>
    <mergeCell ref="B37:D37"/>
    <mergeCell ref="B38:D38"/>
    <mergeCell ref="B39:D39"/>
    <mergeCell ref="B40:D40"/>
    <mergeCell ref="B41:D41"/>
    <mergeCell ref="G4:H4"/>
    <mergeCell ref="G5:H5"/>
    <mergeCell ref="B31:D31"/>
    <mergeCell ref="B32:D32"/>
    <mergeCell ref="G32:I32"/>
    <mergeCell ref="B33:D33"/>
    <mergeCell ref="H33:I33"/>
    <mergeCell ref="G40:I40"/>
    <mergeCell ref="B34:D34"/>
    <mergeCell ref="H34:I34"/>
    <mergeCell ref="B35:D35"/>
    <mergeCell ref="H35:I35"/>
  </mergeCells>
  <conditionalFormatting sqref="B5">
    <cfRule type="containsText" dxfId="107" priority="1" operator="containsText" text="Terminé">
      <formula>NOT(ISERROR(SEARCH("Terminé",B5)))</formula>
    </cfRule>
    <cfRule type="containsText" dxfId="106" priority="2" operator="containsText" text="En cours">
      <formula>NOT(ISERROR(SEARCH("En cours",B5)))</formula>
    </cfRule>
    <cfRule type="containsText" dxfId="10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1" zoomScaleNormal="100" workbookViewId="0">
      <selection activeCell="B5" sqref="B5:E5"/>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797</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36</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412</v>
      </c>
      <c r="C6" s="993"/>
      <c r="D6" s="993"/>
      <c r="E6" s="993"/>
      <c r="F6" s="7"/>
      <c r="G6" s="986" t="s">
        <v>755</v>
      </c>
      <c r="H6" s="986"/>
      <c r="I6" s="6"/>
      <c r="J6" s="6"/>
      <c r="Z6" s="1026"/>
      <c r="AA6" s="1027"/>
      <c r="AB6" s="357" t="s">
        <v>610</v>
      </c>
    </row>
    <row r="7" spans="1:28" s="6" customFormat="1" ht="19.5" customHeight="1" x14ac:dyDescent="0.25">
      <c r="A7" s="253" t="s">
        <v>475</v>
      </c>
      <c r="B7" s="994" t="s">
        <v>26</v>
      </c>
      <c r="C7" s="994"/>
      <c r="D7" s="994"/>
      <c r="E7" s="994"/>
      <c r="F7" s="7"/>
      <c r="G7" s="995" t="s">
        <v>756</v>
      </c>
      <c r="H7" s="995"/>
      <c r="I7" s="400"/>
      <c r="J7" s="400"/>
      <c r="Z7" s="401"/>
      <c r="AA7" s="402"/>
      <c r="AB7" s="357"/>
    </row>
    <row r="8" spans="1:28" ht="24" customHeight="1" x14ac:dyDescent="0.25">
      <c r="A8" s="98" t="s">
        <v>1</v>
      </c>
      <c r="B8" s="967" t="s">
        <v>1124</v>
      </c>
      <c r="C8" s="967"/>
      <c r="D8" s="967"/>
      <c r="E8" s="967"/>
      <c r="G8" s="997" t="s">
        <v>936</v>
      </c>
      <c r="H8" s="6"/>
      <c r="I8" s="6"/>
      <c r="J8" s="6"/>
      <c r="K8" s="6"/>
      <c r="L8" s="6"/>
      <c r="M8" s="6"/>
      <c r="Z8" s="1028" t="s">
        <v>611</v>
      </c>
      <c r="AA8" s="1029"/>
      <c r="AB8" s="357">
        <v>0.26819999999999999</v>
      </c>
    </row>
    <row r="9" spans="1:28" ht="24" customHeight="1" x14ac:dyDescent="0.25">
      <c r="A9" s="98" t="s">
        <v>0</v>
      </c>
      <c r="B9" s="967" t="s">
        <v>1322</v>
      </c>
      <c r="C9" s="967"/>
      <c r="D9" s="967"/>
      <c r="E9" s="967"/>
      <c r="G9" s="997"/>
      <c r="H9" s="6"/>
      <c r="I9" s="6"/>
      <c r="J9" s="6"/>
      <c r="K9" s="6"/>
      <c r="L9" s="6"/>
      <c r="M9" s="6"/>
      <c r="Z9" s="1028" t="s">
        <v>612</v>
      </c>
      <c r="AA9" s="1029"/>
      <c r="AB9" s="357">
        <v>3.1300000000000001E-2</v>
      </c>
    </row>
    <row r="10" spans="1:28" ht="33.75" customHeight="1" x14ac:dyDescent="0.25">
      <c r="A10" s="98" t="s">
        <v>2</v>
      </c>
      <c r="B10" s="1034" t="s">
        <v>1125</v>
      </c>
      <c r="C10" s="1035"/>
      <c r="D10" s="1035"/>
      <c r="E10" s="1035"/>
      <c r="G10" s="997"/>
      <c r="H10" s="6"/>
      <c r="I10" s="6"/>
      <c r="J10" s="6"/>
      <c r="K10" s="6"/>
      <c r="L10" s="6"/>
      <c r="M10" s="7"/>
      <c r="N10" s="59" t="s">
        <v>173</v>
      </c>
      <c r="O10" s="59" t="s">
        <v>174</v>
      </c>
      <c r="P10" s="59" t="s">
        <v>406</v>
      </c>
      <c r="Q10" s="59" t="s">
        <v>176</v>
      </c>
      <c r="R10" s="59" t="s">
        <v>143</v>
      </c>
      <c r="S10" s="60" t="s">
        <v>177</v>
      </c>
      <c r="T10" s="60" t="s">
        <v>178</v>
      </c>
      <c r="U10" s="59" t="s">
        <v>450</v>
      </c>
      <c r="V10" s="60" t="s">
        <v>169</v>
      </c>
      <c r="Z10" s="1028"/>
      <c r="AA10" s="1029"/>
      <c r="AB10" s="357"/>
    </row>
    <row r="11" spans="1:28" ht="24" customHeight="1" x14ac:dyDescent="0.25">
      <c r="A11" s="98" t="s">
        <v>29</v>
      </c>
      <c r="B11" s="1034" t="s">
        <v>941</v>
      </c>
      <c r="C11" s="1035"/>
      <c r="D11" s="1035"/>
      <c r="E11" s="1035"/>
      <c r="G11" s="254">
        <v>1</v>
      </c>
      <c r="H11" s="131" t="s">
        <v>547</v>
      </c>
      <c r="I11" s="6"/>
      <c r="J11" s="6"/>
      <c r="K11" s="6"/>
      <c r="L11" s="6"/>
      <c r="N11" s="184">
        <f>SUM(G11:L11)</f>
        <v>1</v>
      </c>
      <c r="O11" s="184">
        <v>10</v>
      </c>
      <c r="P11" s="184">
        <v>35454</v>
      </c>
      <c r="Q11" s="184">
        <v>0.25</v>
      </c>
      <c r="R11" s="184">
        <v>65</v>
      </c>
      <c r="S11" s="183">
        <v>365</v>
      </c>
      <c r="T11" s="183">
        <v>24</v>
      </c>
      <c r="U11" s="184">
        <v>97000</v>
      </c>
      <c r="V11" s="360">
        <f>AB13</f>
        <v>0.50363636363636366</v>
      </c>
      <c r="Z11" s="1028" t="s">
        <v>613</v>
      </c>
      <c r="AA11" s="1029"/>
      <c r="AB11" s="357">
        <v>0.26819999999999999</v>
      </c>
    </row>
    <row r="12" spans="1:28" ht="30" customHeight="1" x14ac:dyDescent="0.25">
      <c r="A12" s="98" t="s">
        <v>14</v>
      </c>
      <c r="B12" s="1010" t="s">
        <v>54</v>
      </c>
      <c r="C12" s="1010"/>
      <c r="D12" s="1010"/>
      <c r="E12" s="1010"/>
      <c r="Z12" s="1028" t="s">
        <v>614</v>
      </c>
      <c r="AA12" s="1029"/>
      <c r="AB12" s="357">
        <v>1.18E-2</v>
      </c>
    </row>
    <row r="13" spans="1:28" ht="30" customHeight="1" x14ac:dyDescent="0.25">
      <c r="A13" s="98" t="s">
        <v>3</v>
      </c>
      <c r="B13" s="1010"/>
      <c r="C13" s="1010"/>
      <c r="D13" s="1010"/>
      <c r="E13" s="1010"/>
      <c r="N13" s="6" t="s">
        <v>405</v>
      </c>
      <c r="O13" s="6">
        <v>107246</v>
      </c>
      <c r="Z13" s="1028" t="s">
        <v>615</v>
      </c>
      <c r="AA13" s="1029"/>
      <c r="AB13" s="358">
        <f>AB15/0.55</f>
        <v>0.50363636363636366</v>
      </c>
    </row>
    <row r="14" spans="1:28" ht="30" customHeight="1" x14ac:dyDescent="0.25">
      <c r="A14" s="98" t="s">
        <v>15</v>
      </c>
      <c r="B14" s="1010"/>
      <c r="C14" s="1010"/>
      <c r="D14" s="1010"/>
      <c r="E14" s="1010"/>
      <c r="Z14" s="1028" t="s">
        <v>616</v>
      </c>
      <c r="AA14" s="1029"/>
      <c r="AB14" s="357">
        <v>0.26819999999999999</v>
      </c>
    </row>
    <row r="15" spans="1:28" ht="30" customHeight="1" x14ac:dyDescent="0.25">
      <c r="A15" s="98" t="s">
        <v>4</v>
      </c>
      <c r="B15" s="1010">
        <v>2020</v>
      </c>
      <c r="C15" s="1010"/>
      <c r="D15" s="1010"/>
      <c r="E15" s="1010"/>
      <c r="F15" s="6"/>
      <c r="G15" s="6"/>
      <c r="H15" s="6"/>
      <c r="I15" s="6"/>
      <c r="J15" s="6"/>
      <c r="K15" s="6"/>
      <c r="Z15" s="1028" t="s">
        <v>578</v>
      </c>
      <c r="AA15" s="1029"/>
      <c r="AB15" s="357">
        <v>0.27700000000000002</v>
      </c>
    </row>
    <row r="16" spans="1:28" ht="30" customHeight="1" x14ac:dyDescent="0.25">
      <c r="A16" s="98" t="s">
        <v>5</v>
      </c>
      <c r="B16" s="1010">
        <v>2030</v>
      </c>
      <c r="C16" s="1010"/>
      <c r="D16" s="1010"/>
      <c r="E16" s="1010"/>
      <c r="F16" s="6"/>
      <c r="G16" s="6"/>
      <c r="H16" s="6"/>
      <c r="I16" s="6"/>
      <c r="J16" s="6"/>
      <c r="K16" s="6"/>
      <c r="Z16" s="1028" t="s">
        <v>579</v>
      </c>
      <c r="AA16" s="1029"/>
      <c r="AB16" s="357">
        <v>0.20269999999999999</v>
      </c>
    </row>
    <row r="17" spans="1:11" ht="30" customHeight="1" x14ac:dyDescent="0.25">
      <c r="A17" s="98" t="s">
        <v>6</v>
      </c>
      <c r="B17" s="1000">
        <f>N11*U11</f>
        <v>97000</v>
      </c>
      <c r="C17" s="1000"/>
      <c r="D17" s="1000"/>
      <c r="E17" s="1000"/>
      <c r="F17" s="6"/>
      <c r="G17" s="6"/>
      <c r="H17" s="6"/>
      <c r="I17" s="6"/>
      <c r="J17" s="6"/>
      <c r="K17" s="6"/>
    </row>
    <row r="18" spans="1:11" ht="30" customHeight="1" x14ac:dyDescent="0.25">
      <c r="A18" s="98" t="s">
        <v>7</v>
      </c>
      <c r="B18" s="1000">
        <f>B17*0.2</f>
        <v>19400</v>
      </c>
      <c r="C18" s="1000"/>
      <c r="D18" s="1000"/>
      <c r="E18" s="1000"/>
      <c r="F18" s="6"/>
      <c r="G18" s="6"/>
      <c r="H18" s="6"/>
      <c r="I18" s="6"/>
      <c r="J18" s="6"/>
      <c r="K18" s="6"/>
    </row>
    <row r="19" spans="1:11" ht="30" customHeight="1" x14ac:dyDescent="0.25">
      <c r="A19" s="99" t="s">
        <v>307</v>
      </c>
      <c r="B19" s="1013"/>
      <c r="C19" s="1014"/>
      <c r="D19" s="1014"/>
      <c r="E19" s="1014"/>
      <c r="F19" s="6"/>
      <c r="G19" s="6"/>
      <c r="H19" s="6"/>
      <c r="I19" s="6"/>
      <c r="J19" s="6"/>
      <c r="K19" s="6"/>
    </row>
    <row r="20" spans="1:11" ht="30" customHeight="1" x14ac:dyDescent="0.25">
      <c r="A20" s="96" t="s">
        <v>306</v>
      </c>
      <c r="B20" s="1006">
        <f>N11*P11</f>
        <v>35454</v>
      </c>
      <c r="C20" s="1007"/>
      <c r="D20" s="1007"/>
      <c r="E20" s="1007"/>
      <c r="F20" s="6"/>
      <c r="G20" s="6"/>
      <c r="H20" s="6"/>
      <c r="I20" s="6"/>
      <c r="J20" s="6"/>
      <c r="K20" s="6"/>
    </row>
    <row r="21" spans="1:11" ht="30" customHeight="1" x14ac:dyDescent="0.25">
      <c r="A21" s="98" t="s">
        <v>8</v>
      </c>
      <c r="B21" s="1000">
        <f>B20*Q11</f>
        <v>8863.5</v>
      </c>
      <c r="C21" s="1000"/>
      <c r="D21" s="1000"/>
      <c r="E21" s="1000"/>
      <c r="F21" s="6"/>
      <c r="G21" s="6"/>
      <c r="H21" s="6"/>
      <c r="I21" s="6"/>
      <c r="J21" s="6"/>
      <c r="K21" s="6"/>
    </row>
    <row r="22" spans="1:11" ht="30" customHeight="1" x14ac:dyDescent="0.25">
      <c r="A22" s="98" t="s">
        <v>9</v>
      </c>
      <c r="B22" s="1000">
        <f>B20/1000*R11</f>
        <v>2304.5100000000002</v>
      </c>
      <c r="C22" s="1000"/>
      <c r="D22" s="1000"/>
      <c r="E22" s="1000"/>
      <c r="F22" s="6"/>
      <c r="G22" s="6"/>
      <c r="H22" s="6"/>
      <c r="I22" s="6"/>
      <c r="J22" s="6"/>
      <c r="K22" s="6"/>
    </row>
    <row r="23" spans="1:11" ht="30" customHeight="1" x14ac:dyDescent="0.25">
      <c r="A23" s="98" t="s">
        <v>301</v>
      </c>
      <c r="B23" s="1016">
        <f>B17/(B21+B22)</f>
        <v>8.6855223088088209</v>
      </c>
      <c r="C23" s="1016"/>
      <c r="D23" s="1016"/>
      <c r="E23" s="1016"/>
      <c r="F23" s="6"/>
      <c r="G23" s="6"/>
      <c r="H23" s="6"/>
      <c r="I23" s="6"/>
      <c r="J23" s="6"/>
      <c r="K23" s="6"/>
    </row>
    <row r="24" spans="1:11" ht="30" customHeight="1" x14ac:dyDescent="0.25">
      <c r="A24" s="98" t="s">
        <v>302</v>
      </c>
      <c r="B24" s="1079">
        <f>(B17-B18)/(B21+B22)</f>
        <v>6.9484178470470566</v>
      </c>
      <c r="C24" s="1079"/>
      <c r="D24" s="1079"/>
      <c r="E24" s="1079"/>
      <c r="F24" s="6"/>
      <c r="G24" s="6"/>
      <c r="H24" s="6"/>
      <c r="I24" s="6"/>
      <c r="J24" s="6"/>
      <c r="K24" s="6"/>
    </row>
    <row r="25" spans="1:11" ht="30" customHeight="1" x14ac:dyDescent="0.25">
      <c r="A25" s="100" t="s">
        <v>305</v>
      </c>
      <c r="B25" s="1070">
        <f>B20/1000*V11</f>
        <v>17.855923636363638</v>
      </c>
      <c r="C25" s="1070"/>
      <c r="D25" s="1070"/>
      <c r="E25" s="1070"/>
      <c r="F25" s="6"/>
      <c r="G25" s="6"/>
      <c r="H25" s="6"/>
      <c r="I25" s="6"/>
      <c r="J25" s="6"/>
      <c r="K25" s="6"/>
    </row>
    <row r="26" spans="1:11" ht="30" customHeight="1" x14ac:dyDescent="0.25">
      <c r="A26" s="101" t="s">
        <v>303</v>
      </c>
      <c r="B26" s="1136">
        <f>B25/'Objectifs CO2'!C7</f>
        <v>1.6470948690087306E-2</v>
      </c>
      <c r="C26" s="1137"/>
      <c r="D26" s="1137"/>
      <c r="E26" s="1138"/>
      <c r="F26" s="6"/>
      <c r="G26" s="6"/>
      <c r="H26" s="6"/>
      <c r="I26" s="6"/>
      <c r="J26" s="6"/>
      <c r="K26" s="6"/>
    </row>
    <row r="27" spans="1:11" ht="30" customHeight="1" x14ac:dyDescent="0.25">
      <c r="A27" s="101" t="s">
        <v>304</v>
      </c>
      <c r="B27" s="1139">
        <f>B25/'Objectifs CO2'!C4</f>
        <v>8.2354743450436521E-4</v>
      </c>
      <c r="C27" s="1140"/>
      <c r="D27" s="1140"/>
      <c r="E27" s="1056"/>
      <c r="F27" s="6"/>
      <c r="G27" s="6"/>
      <c r="H27" s="6"/>
      <c r="I27" s="6"/>
      <c r="J27" s="6"/>
      <c r="K27" s="6"/>
    </row>
    <row r="28" spans="1:11" ht="30" customHeight="1" x14ac:dyDescent="0.25">
      <c r="A28" s="101" t="s">
        <v>22</v>
      </c>
      <c r="B28" s="999"/>
      <c r="C28" s="999"/>
      <c r="D28" s="999"/>
      <c r="E28" s="999"/>
      <c r="F28" s="6"/>
      <c r="G28" s="6"/>
      <c r="H28" s="6"/>
      <c r="I28" s="6"/>
      <c r="J28" s="6"/>
      <c r="K28" s="6"/>
    </row>
    <row r="29" spans="1:11" ht="30" customHeight="1" x14ac:dyDescent="0.25">
      <c r="A29" s="101" t="s">
        <v>257</v>
      </c>
      <c r="B29" s="999"/>
      <c r="C29" s="999"/>
      <c r="D29" s="999"/>
      <c r="E29" s="999"/>
    </row>
    <row r="31" spans="1:11" x14ac:dyDescent="0.25">
      <c r="A31" s="603" t="s">
        <v>1065</v>
      </c>
      <c r="B31" s="1003" t="s">
        <v>675</v>
      </c>
      <c r="C31" s="1003"/>
      <c r="D31" s="1003"/>
      <c r="E31" s="56" t="s">
        <v>676</v>
      </c>
      <c r="F31" s="6"/>
      <c r="G31" s="6"/>
      <c r="H31" s="6"/>
      <c r="I31" s="6"/>
    </row>
    <row r="32" spans="1:11"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36:D36"/>
    <mergeCell ref="B42:D42"/>
    <mergeCell ref="B44:D44"/>
    <mergeCell ref="B37:D37"/>
    <mergeCell ref="B38:D38"/>
    <mergeCell ref="B39:D39"/>
    <mergeCell ref="B40:D40"/>
    <mergeCell ref="B41:D41"/>
    <mergeCell ref="G59:L59"/>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G7:H7"/>
    <mergeCell ref="B10:E10"/>
    <mergeCell ref="B12:E12"/>
    <mergeCell ref="B25:E25"/>
    <mergeCell ref="Z16:AA16"/>
    <mergeCell ref="Z11:AA11"/>
    <mergeCell ref="Z12:AA12"/>
    <mergeCell ref="Z13:AA13"/>
    <mergeCell ref="Z14:AA14"/>
    <mergeCell ref="Z15:AA15"/>
    <mergeCell ref="B16:E16"/>
    <mergeCell ref="B17:E17"/>
    <mergeCell ref="B18:E18"/>
    <mergeCell ref="B11:E11"/>
    <mergeCell ref="B13:E13"/>
    <mergeCell ref="B14:E14"/>
    <mergeCell ref="B15:E15"/>
    <mergeCell ref="B31:D31"/>
    <mergeCell ref="B32:D32"/>
    <mergeCell ref="G32:I32"/>
    <mergeCell ref="B29:E29"/>
    <mergeCell ref="B24:E24"/>
    <mergeCell ref="B22:E22"/>
    <mergeCell ref="B19:E19"/>
    <mergeCell ref="B20:E20"/>
    <mergeCell ref="B21:E21"/>
    <mergeCell ref="B23:E23"/>
    <mergeCell ref="B28:E28"/>
    <mergeCell ref="B33:D33"/>
    <mergeCell ref="H33:I33"/>
    <mergeCell ref="G40:I40"/>
    <mergeCell ref="B34:D34"/>
    <mergeCell ref="H34:I34"/>
    <mergeCell ref="B35:D35"/>
    <mergeCell ref="B8:E8"/>
    <mergeCell ref="B9:E9"/>
    <mergeCell ref="A1:E1"/>
    <mergeCell ref="B2:E2"/>
    <mergeCell ref="G2:H2"/>
    <mergeCell ref="B3:E3"/>
    <mergeCell ref="G3:H3"/>
    <mergeCell ref="B7:E7"/>
    <mergeCell ref="G4:H4"/>
    <mergeCell ref="G5:H5"/>
    <mergeCell ref="G6:H6"/>
    <mergeCell ref="B4:E4"/>
    <mergeCell ref="B5:E5"/>
    <mergeCell ref="B6:E6"/>
    <mergeCell ref="G8:G10"/>
    <mergeCell ref="B26:E26"/>
    <mergeCell ref="B27:E27"/>
    <mergeCell ref="H35:I35"/>
  </mergeCells>
  <conditionalFormatting sqref="B5">
    <cfRule type="containsText" dxfId="104" priority="1" operator="containsText" text="Terminé">
      <formula>NOT(ISERROR(SEARCH("Terminé",B5)))</formula>
    </cfRule>
    <cfRule type="containsText" dxfId="103" priority="2" operator="containsText" text="En cours">
      <formula>NOT(ISERROR(SEARCH("En cours",B5)))</formula>
    </cfRule>
    <cfRule type="containsText" dxfId="10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2"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9"/>
  <sheetViews>
    <sheetView zoomScaleNormal="100"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796</v>
      </c>
      <c r="C2" s="1068"/>
      <c r="D2" s="1068"/>
      <c r="E2" s="1068"/>
      <c r="F2" s="7"/>
      <c r="G2" s="986" t="s">
        <v>751</v>
      </c>
      <c r="H2" s="986"/>
    </row>
    <row r="3" spans="1:28" ht="19.5" customHeight="1" x14ac:dyDescent="0.25">
      <c r="A3" s="541" t="s">
        <v>743</v>
      </c>
      <c r="B3" s="987" t="s">
        <v>747</v>
      </c>
      <c r="C3" s="987"/>
      <c r="D3" s="987"/>
      <c r="E3" s="987"/>
      <c r="F3" s="7"/>
      <c r="G3" s="986" t="s">
        <v>752</v>
      </c>
      <c r="H3" s="986"/>
    </row>
    <row r="4" spans="1:28" ht="19.5" customHeight="1" x14ac:dyDescent="0.25">
      <c r="A4" s="542" t="s">
        <v>292</v>
      </c>
      <c r="B4" s="996" t="s">
        <v>37</v>
      </c>
      <c r="C4" s="996"/>
      <c r="D4" s="996"/>
      <c r="E4" s="996"/>
      <c r="F4" s="7"/>
      <c r="G4" s="986" t="s">
        <v>753</v>
      </c>
      <c r="H4" s="986"/>
    </row>
    <row r="5" spans="1:28" ht="19.5" customHeight="1" x14ac:dyDescent="0.25">
      <c r="A5" s="542" t="s">
        <v>16</v>
      </c>
      <c r="B5" s="1141" t="s">
        <v>19</v>
      </c>
      <c r="C5" s="1142"/>
      <c r="D5" s="1142"/>
      <c r="E5" s="1143"/>
      <c r="F5" s="7"/>
      <c r="G5" s="986" t="s">
        <v>754</v>
      </c>
      <c r="H5" s="986"/>
      <c r="Z5" s="1023" t="s">
        <v>609</v>
      </c>
      <c r="AA5" s="1024"/>
      <c r="AB5" s="1025"/>
    </row>
    <row r="6" spans="1:28" ht="19.5" customHeight="1" x14ac:dyDescent="0.25">
      <c r="A6" s="413" t="s">
        <v>474</v>
      </c>
      <c r="B6" s="993" t="s">
        <v>417</v>
      </c>
      <c r="C6" s="993"/>
      <c r="D6" s="993"/>
      <c r="E6" s="993"/>
      <c r="F6" s="7"/>
      <c r="G6" s="986" t="s">
        <v>755</v>
      </c>
      <c r="H6" s="986"/>
      <c r="Z6" s="1026"/>
      <c r="AA6" s="1027"/>
      <c r="AB6" s="357" t="s">
        <v>610</v>
      </c>
    </row>
    <row r="7" spans="1:28" ht="19.5" customHeight="1" x14ac:dyDescent="0.25">
      <c r="A7" s="253" t="s">
        <v>475</v>
      </c>
      <c r="B7" s="994" t="s">
        <v>26</v>
      </c>
      <c r="C7" s="994"/>
      <c r="D7" s="994"/>
      <c r="E7" s="994"/>
      <c r="F7" s="7"/>
      <c r="G7" s="995" t="s">
        <v>756</v>
      </c>
      <c r="H7" s="995"/>
      <c r="I7" s="545"/>
      <c r="J7" s="545"/>
      <c r="Z7" s="543"/>
      <c r="AA7" s="544"/>
      <c r="AB7" s="357"/>
    </row>
    <row r="8" spans="1:28" ht="15" customHeight="1" x14ac:dyDescent="0.25">
      <c r="A8" s="550" t="s">
        <v>1</v>
      </c>
      <c r="B8" s="967" t="s">
        <v>842</v>
      </c>
      <c r="C8" s="967"/>
      <c r="D8" s="967"/>
      <c r="E8" s="967"/>
      <c r="G8" s="997" t="s">
        <v>936</v>
      </c>
      <c r="Z8" s="1028" t="s">
        <v>611</v>
      </c>
      <c r="AA8" s="1029"/>
      <c r="AB8" s="357">
        <v>0.26819999999999999</v>
      </c>
    </row>
    <row r="9" spans="1:28" x14ac:dyDescent="0.25">
      <c r="A9" s="550" t="s">
        <v>0</v>
      </c>
      <c r="B9" s="967" t="s">
        <v>954</v>
      </c>
      <c r="C9" s="967"/>
      <c r="D9" s="967"/>
      <c r="E9" s="967"/>
      <c r="G9" s="997"/>
      <c r="Z9" s="1028" t="s">
        <v>612</v>
      </c>
      <c r="AA9" s="1029"/>
      <c r="AB9" s="357">
        <v>3.1300000000000001E-2</v>
      </c>
    </row>
    <row r="10" spans="1:28" ht="42" customHeight="1" x14ac:dyDescent="0.25">
      <c r="A10" s="550" t="s">
        <v>2</v>
      </c>
      <c r="B10" s="1034" t="s">
        <v>955</v>
      </c>
      <c r="C10" s="1035"/>
      <c r="D10" s="1035"/>
      <c r="E10" s="1035"/>
      <c r="G10" s="997"/>
      <c r="M10" s="7"/>
      <c r="Z10" s="1028"/>
      <c r="AA10" s="1029"/>
      <c r="AB10" s="357"/>
    </row>
    <row r="11" spans="1:28" ht="32.25" customHeight="1" x14ac:dyDescent="0.25">
      <c r="A11" s="550" t="s">
        <v>29</v>
      </c>
      <c r="B11" s="1034"/>
      <c r="C11" s="1035"/>
      <c r="D11" s="1035"/>
      <c r="E11" s="1035"/>
      <c r="G11" s="254">
        <v>5</v>
      </c>
      <c r="H11" s="131" t="s">
        <v>567</v>
      </c>
      <c r="Z11" s="1028" t="s">
        <v>613</v>
      </c>
      <c r="AA11" s="1029"/>
      <c r="AB11" s="357">
        <v>0.26819999999999999</v>
      </c>
    </row>
    <row r="12" spans="1:28" ht="30" customHeight="1" x14ac:dyDescent="0.25">
      <c r="A12" s="550" t="s">
        <v>14</v>
      </c>
      <c r="B12" s="1010" t="s">
        <v>939</v>
      </c>
      <c r="C12" s="1010"/>
      <c r="D12" s="1010"/>
      <c r="E12" s="1010"/>
      <c r="Z12" s="1028" t="s">
        <v>614</v>
      </c>
      <c r="AA12" s="1029"/>
      <c r="AB12" s="357">
        <v>1.18E-2</v>
      </c>
    </row>
    <row r="13" spans="1:28" ht="30" customHeight="1" x14ac:dyDescent="0.25">
      <c r="A13" s="550" t="s">
        <v>3</v>
      </c>
      <c r="B13" s="1011" t="s">
        <v>943</v>
      </c>
      <c r="C13" s="1011"/>
      <c r="D13" s="1011"/>
      <c r="E13" s="1011"/>
      <c r="G13" s="59" t="s">
        <v>173</v>
      </c>
      <c r="H13" s="59" t="s">
        <v>174</v>
      </c>
      <c r="I13" s="59" t="s">
        <v>175</v>
      </c>
      <c r="J13" s="59" t="s">
        <v>176</v>
      </c>
      <c r="K13" s="59" t="s">
        <v>143</v>
      </c>
      <c r="L13" s="60" t="s">
        <v>177</v>
      </c>
      <c r="M13" s="60" t="s">
        <v>178</v>
      </c>
      <c r="N13" s="59" t="s">
        <v>179</v>
      </c>
      <c r="O13" s="60" t="s">
        <v>169</v>
      </c>
      <c r="Z13" s="1028" t="s">
        <v>615</v>
      </c>
      <c r="AA13" s="1029"/>
      <c r="AB13" s="358">
        <f>AB15/0.55</f>
        <v>0.50363636363636366</v>
      </c>
    </row>
    <row r="14" spans="1:28" ht="30" customHeight="1" x14ac:dyDescent="0.25">
      <c r="A14" s="550" t="s">
        <v>15</v>
      </c>
      <c r="B14" s="1011" t="s">
        <v>956</v>
      </c>
      <c r="C14" s="1011"/>
      <c r="D14" s="1011"/>
      <c r="E14" s="1011"/>
      <c r="G14" s="548">
        <f>G11</f>
        <v>5</v>
      </c>
      <c r="H14" s="548">
        <v>2000</v>
      </c>
      <c r="I14" s="548">
        <v>0.25</v>
      </c>
      <c r="J14" s="548">
        <v>0.04</v>
      </c>
      <c r="K14" s="548">
        <v>65</v>
      </c>
      <c r="L14" s="549">
        <v>365</v>
      </c>
      <c r="M14" s="549">
        <v>24</v>
      </c>
      <c r="N14" s="548">
        <v>1500000</v>
      </c>
      <c r="O14" s="360">
        <f>AB13</f>
        <v>0.50363636363636366</v>
      </c>
      <c r="Z14" s="1028" t="s">
        <v>616</v>
      </c>
      <c r="AA14" s="1029"/>
      <c r="AB14" s="357">
        <v>0.26819999999999999</v>
      </c>
    </row>
    <row r="15" spans="1:28" ht="30" customHeight="1" x14ac:dyDescent="0.25">
      <c r="A15" s="550" t="s">
        <v>4</v>
      </c>
      <c r="B15" s="1010">
        <v>2015</v>
      </c>
      <c r="C15" s="1010"/>
      <c r="D15" s="1010"/>
      <c r="E15" s="1010"/>
      <c r="Z15" s="1028" t="s">
        <v>578</v>
      </c>
      <c r="AA15" s="1029"/>
      <c r="AB15" s="357">
        <v>0.27700000000000002</v>
      </c>
    </row>
    <row r="16" spans="1:28" ht="30" customHeight="1" x14ac:dyDescent="0.25">
      <c r="A16" s="550" t="s">
        <v>5</v>
      </c>
      <c r="B16" s="1010">
        <v>2016</v>
      </c>
      <c r="C16" s="1010"/>
      <c r="D16" s="1010"/>
      <c r="E16" s="1010"/>
      <c r="Z16" s="1028" t="s">
        <v>579</v>
      </c>
      <c r="AA16" s="1029"/>
      <c r="AB16" s="357">
        <v>0.20269999999999999</v>
      </c>
    </row>
    <row r="17" spans="1:9" ht="30" customHeight="1" x14ac:dyDescent="0.25">
      <c r="A17" s="550" t="s">
        <v>6</v>
      </c>
      <c r="B17" s="1000">
        <f>G14*H14/1000*N14</f>
        <v>15000000</v>
      </c>
      <c r="C17" s="1000"/>
      <c r="D17" s="1000"/>
      <c r="E17" s="1000"/>
    </row>
    <row r="18" spans="1:9" ht="30" customHeight="1" x14ac:dyDescent="0.25">
      <c r="A18" s="550" t="s">
        <v>7</v>
      </c>
      <c r="B18" s="1000">
        <f>B17*0.2</f>
        <v>3000000</v>
      </c>
      <c r="C18" s="1000"/>
      <c r="D18" s="1000"/>
      <c r="E18" s="1000"/>
    </row>
    <row r="19" spans="1:9" ht="30" customHeight="1" x14ac:dyDescent="0.25">
      <c r="A19" s="106" t="s">
        <v>307</v>
      </c>
      <c r="B19" s="1013"/>
      <c r="C19" s="1014"/>
      <c r="D19" s="1014"/>
      <c r="E19" s="1014"/>
      <c r="G19" s="2"/>
      <c r="H19" s="2"/>
    </row>
    <row r="20" spans="1:9" ht="30" customHeight="1" x14ac:dyDescent="0.25">
      <c r="A20" s="97" t="s">
        <v>306</v>
      </c>
      <c r="B20" s="1006">
        <f>G14*H14*I14*L14*M14-'ADU-80'!B20:E20</f>
        <v>21582617.452312112</v>
      </c>
      <c r="C20" s="1007"/>
      <c r="D20" s="1007"/>
      <c r="E20" s="1007"/>
    </row>
    <row r="21" spans="1:9" ht="30" customHeight="1" x14ac:dyDescent="0.25">
      <c r="A21" s="550" t="s">
        <v>8</v>
      </c>
      <c r="B21" s="1000">
        <f>B20*J14</f>
        <v>863304.6980924845</v>
      </c>
      <c r="C21" s="1000"/>
      <c r="D21" s="1000"/>
      <c r="E21" s="1000"/>
    </row>
    <row r="22" spans="1:9" ht="30" customHeight="1" x14ac:dyDescent="0.25">
      <c r="A22" s="550" t="s">
        <v>9</v>
      </c>
      <c r="B22" s="1000">
        <f>B20/1000*K14</f>
        <v>1402870.1344002872</v>
      </c>
      <c r="C22" s="1000"/>
      <c r="D22" s="1000"/>
      <c r="E22" s="1000"/>
    </row>
    <row r="23" spans="1:9" ht="30" customHeight="1" x14ac:dyDescent="0.25">
      <c r="A23" s="550" t="s">
        <v>301</v>
      </c>
      <c r="B23" s="1016">
        <f>B17/(B21+B22)</f>
        <v>6.6190833050158524</v>
      </c>
      <c r="C23" s="1016"/>
      <c r="D23" s="1016"/>
      <c r="E23" s="1016"/>
    </row>
    <row r="24" spans="1:9" ht="30" customHeight="1" x14ac:dyDescent="0.25">
      <c r="A24" s="550" t="s">
        <v>330</v>
      </c>
      <c r="B24" s="1017">
        <f>(B17-B18)/(B21+B22)</f>
        <v>5.2952666440126821</v>
      </c>
      <c r="C24" s="1017"/>
      <c r="D24" s="1017"/>
      <c r="E24" s="1017"/>
    </row>
    <row r="25" spans="1:9" ht="30" customHeight="1" x14ac:dyDescent="0.25">
      <c r="A25" s="100" t="s">
        <v>305</v>
      </c>
      <c r="B25" s="1070">
        <f>B20/1000*O14-'[4]ADU-80'!B25:E25</f>
        <v>10709.945579238018</v>
      </c>
      <c r="C25" s="1070"/>
      <c r="D25" s="1070"/>
      <c r="E25" s="1070"/>
    </row>
    <row r="26" spans="1:9" ht="30" customHeight="1" x14ac:dyDescent="0.25">
      <c r="A26" s="101" t="s">
        <v>303</v>
      </c>
      <c r="B26" s="1019">
        <f>B25/'[5]Objectifs CO2'!$C$6</f>
        <v>71.960932468171848</v>
      </c>
      <c r="C26" s="1019"/>
      <c r="D26" s="1019"/>
      <c r="E26" s="1019"/>
    </row>
    <row r="27" spans="1:9" ht="30" customHeight="1" x14ac:dyDescent="0.25">
      <c r="A27" s="101" t="s">
        <v>304</v>
      </c>
      <c r="B27" s="1021">
        <f>B25/'[5]Objectifs CO2'!$C$4</f>
        <v>3.5980466234085924</v>
      </c>
      <c r="C27" s="1021"/>
      <c r="D27" s="1021"/>
      <c r="E27" s="1021"/>
    </row>
    <row r="28" spans="1:9" ht="30" customHeight="1" x14ac:dyDescent="0.25">
      <c r="A28" s="101" t="s">
        <v>22</v>
      </c>
      <c r="B28" s="999"/>
      <c r="C28" s="999"/>
      <c r="D28" s="999"/>
      <c r="E28" s="999"/>
    </row>
    <row r="29" spans="1:9" ht="30" customHeight="1" x14ac:dyDescent="0.25">
      <c r="A29" s="101" t="s">
        <v>257</v>
      </c>
      <c r="B29" s="999"/>
      <c r="C29" s="999"/>
      <c r="D29" s="999"/>
      <c r="E29" s="999"/>
    </row>
    <row r="31" spans="1:9" x14ac:dyDescent="0.25">
      <c r="A31" s="603" t="s">
        <v>1065</v>
      </c>
      <c r="B31" s="1003" t="s">
        <v>675</v>
      </c>
      <c r="C31" s="1003"/>
      <c r="D31" s="1003"/>
      <c r="E31" s="539"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46"/>
      <c r="E43" s="94" t="s">
        <v>730</v>
      </c>
    </row>
    <row r="44" spans="1:12" x14ac:dyDescent="0.25">
      <c r="A44" s="546"/>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A52:A62"/>
    <mergeCell ref="B52:F52"/>
    <mergeCell ref="G52:L52"/>
    <mergeCell ref="B53:F53"/>
    <mergeCell ref="G53:L53"/>
    <mergeCell ref="B54:F54"/>
    <mergeCell ref="G54:L54"/>
    <mergeCell ref="H35:I35"/>
    <mergeCell ref="B36:D36"/>
    <mergeCell ref="B42:D42"/>
    <mergeCell ref="B44:D44"/>
    <mergeCell ref="B37:D37"/>
    <mergeCell ref="G59:L59"/>
    <mergeCell ref="B60:F60"/>
    <mergeCell ref="G60:L60"/>
    <mergeCell ref="B61:F61"/>
    <mergeCell ref="G61:L61"/>
    <mergeCell ref="G46:L46"/>
    <mergeCell ref="B38:D38"/>
    <mergeCell ref="B39:D39"/>
    <mergeCell ref="B40:D40"/>
    <mergeCell ref="B41:D41"/>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G7:H7"/>
    <mergeCell ref="B25:E25"/>
    <mergeCell ref="B19:E19"/>
    <mergeCell ref="B20:E20"/>
    <mergeCell ref="B21:E21"/>
    <mergeCell ref="B22:E22"/>
    <mergeCell ref="B23:E23"/>
    <mergeCell ref="Z16:AA16"/>
    <mergeCell ref="Z11:AA11"/>
    <mergeCell ref="Z12:AA12"/>
    <mergeCell ref="Z13:AA13"/>
    <mergeCell ref="Z14:AA14"/>
    <mergeCell ref="Z15:AA15"/>
    <mergeCell ref="B16:E16"/>
    <mergeCell ref="B11:E11"/>
    <mergeCell ref="B12:E12"/>
    <mergeCell ref="B13:E13"/>
    <mergeCell ref="B15:E15"/>
    <mergeCell ref="B27:E27"/>
    <mergeCell ref="B17:E17"/>
    <mergeCell ref="B18:E18"/>
    <mergeCell ref="B24:E24"/>
    <mergeCell ref="B26:E26"/>
    <mergeCell ref="B33:D33"/>
    <mergeCell ref="B10:E10"/>
    <mergeCell ref="H33:I33"/>
    <mergeCell ref="G8:G10"/>
    <mergeCell ref="G40:I40"/>
    <mergeCell ref="B34:D34"/>
    <mergeCell ref="H34:I34"/>
    <mergeCell ref="B35:D35"/>
    <mergeCell ref="B8:E8"/>
    <mergeCell ref="B9:E9"/>
    <mergeCell ref="A1:E1"/>
    <mergeCell ref="B2:E2"/>
    <mergeCell ref="G2:H2"/>
    <mergeCell ref="B3:E3"/>
    <mergeCell ref="G3:H3"/>
    <mergeCell ref="B4:E4"/>
    <mergeCell ref="B5:E5"/>
    <mergeCell ref="B6:E6"/>
    <mergeCell ref="B7:E7"/>
    <mergeCell ref="G6:H6"/>
    <mergeCell ref="G4:H4"/>
    <mergeCell ref="G5:H5"/>
    <mergeCell ref="B31:D31"/>
    <mergeCell ref="B32:D32"/>
    <mergeCell ref="G32:I32"/>
    <mergeCell ref="B29:E29"/>
    <mergeCell ref="B14:E14"/>
    <mergeCell ref="B28:E28"/>
  </mergeCells>
  <conditionalFormatting sqref="B5">
    <cfRule type="containsText" dxfId="101" priority="1" operator="containsText" text="Terminé">
      <formula>NOT(ISERROR(SEARCH("Terminé",B5)))</formula>
    </cfRule>
    <cfRule type="containsText" dxfId="100" priority="2" operator="containsText" text="En cours">
      <formula>NOT(ISERROR(SEARCH("En cours",B5)))</formula>
    </cfRule>
    <cfRule type="containsText" dxfId="9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2"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'[4]Objectifs CO2'!#REF!</xm:f>
          </x14:formula1>
          <xm:sqref>B3</xm:sqref>
        </x14:dataValidation>
        <x14:dataValidation type="list" allowBlank="1" showInputMessage="1" showErrorMessage="1">
          <x14:formula1>
            <xm:f>'[4]Objectifs CO2'!#REF!</xm:f>
          </x14:formula1>
          <xm:sqref>B7</xm:sqref>
        </x14:dataValidation>
        <x14:dataValidation type="list" allowBlank="1" showInputMessage="1" showErrorMessage="1">
          <x14:formula1>
            <xm:f>'[4]Objectifs CO2'!#REF!</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CO2'!$O$4:$O$10</xm:f>
          </x14:formula1>
          <xm:sqref>B4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topLeftCell="A5" workbookViewId="0">
      <selection activeCell="G5" sqref="G5:H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841</v>
      </c>
      <c r="C2" s="1068"/>
      <c r="D2" s="1068"/>
      <c r="E2" s="1068"/>
      <c r="F2" s="7"/>
      <c r="G2" s="986" t="s">
        <v>751</v>
      </c>
      <c r="H2" s="986"/>
    </row>
    <row r="3" spans="1:28" ht="19.5" customHeight="1" x14ac:dyDescent="0.25">
      <c r="A3" s="455" t="s">
        <v>743</v>
      </c>
      <c r="B3" s="987" t="s">
        <v>747</v>
      </c>
      <c r="C3" s="987"/>
      <c r="D3" s="987"/>
      <c r="E3" s="987"/>
      <c r="F3" s="7"/>
      <c r="G3" s="986" t="s">
        <v>752</v>
      </c>
      <c r="H3" s="986"/>
    </row>
    <row r="4" spans="1:28" ht="19.5" customHeight="1" x14ac:dyDescent="0.25">
      <c r="A4" s="456" t="s">
        <v>292</v>
      </c>
      <c r="B4" s="996" t="s">
        <v>31</v>
      </c>
      <c r="C4" s="996"/>
      <c r="D4" s="996"/>
      <c r="E4" s="996"/>
      <c r="F4" s="7"/>
      <c r="G4" s="986" t="s">
        <v>753</v>
      </c>
      <c r="H4" s="986"/>
    </row>
    <row r="5" spans="1:28" ht="19.5" customHeight="1" x14ac:dyDescent="0.25">
      <c r="A5" s="456" t="s">
        <v>16</v>
      </c>
      <c r="B5" s="1015" t="s">
        <v>19</v>
      </c>
      <c r="C5" s="1015"/>
      <c r="D5" s="1015"/>
      <c r="E5" s="1015"/>
      <c r="F5" s="7"/>
      <c r="G5" s="986" t="s">
        <v>754</v>
      </c>
      <c r="H5" s="986"/>
      <c r="Z5" s="1023" t="s">
        <v>609</v>
      </c>
      <c r="AA5" s="1024"/>
      <c r="AB5" s="1025"/>
    </row>
    <row r="6" spans="1:28" ht="19.5" customHeight="1" x14ac:dyDescent="0.25">
      <c r="A6" s="413" t="s">
        <v>474</v>
      </c>
      <c r="B6" s="993" t="s">
        <v>417</v>
      </c>
      <c r="C6" s="993"/>
      <c r="D6" s="993"/>
      <c r="E6" s="993"/>
      <c r="F6" s="7"/>
      <c r="G6" s="986" t="s">
        <v>755</v>
      </c>
      <c r="H6" s="986"/>
      <c r="Z6" s="1026"/>
      <c r="AA6" s="1027"/>
      <c r="AB6" s="357" t="s">
        <v>610</v>
      </c>
    </row>
    <row r="7" spans="1:28" ht="19.5" customHeight="1" x14ac:dyDescent="0.25">
      <c r="A7" s="253" t="s">
        <v>475</v>
      </c>
      <c r="B7" s="994" t="s">
        <v>26</v>
      </c>
      <c r="C7" s="994"/>
      <c r="D7" s="994"/>
      <c r="E7" s="994"/>
      <c r="F7" s="7"/>
      <c r="G7" s="995" t="s">
        <v>756</v>
      </c>
      <c r="H7" s="995"/>
      <c r="I7" s="459"/>
      <c r="J7" s="459"/>
      <c r="Z7" s="457"/>
      <c r="AA7" s="458"/>
      <c r="AB7" s="357"/>
    </row>
    <row r="8" spans="1:28" ht="15" customHeight="1" x14ac:dyDescent="0.25">
      <c r="A8" s="462" t="s">
        <v>1</v>
      </c>
      <c r="B8" s="967" t="s">
        <v>930</v>
      </c>
      <c r="C8" s="967"/>
      <c r="D8" s="967"/>
      <c r="E8" s="967"/>
      <c r="G8" s="997" t="s">
        <v>936</v>
      </c>
      <c r="Z8" s="1028" t="s">
        <v>611</v>
      </c>
      <c r="AA8" s="1029"/>
      <c r="AB8" s="357">
        <v>0.26819999999999999</v>
      </c>
    </row>
    <row r="9" spans="1:28" x14ac:dyDescent="0.25">
      <c r="A9" s="462" t="s">
        <v>0</v>
      </c>
      <c r="B9" s="967" t="s">
        <v>931</v>
      </c>
      <c r="C9" s="967"/>
      <c r="D9" s="967"/>
      <c r="E9" s="967"/>
      <c r="G9" s="997"/>
      <c r="Z9" s="1028" t="s">
        <v>612</v>
      </c>
      <c r="AA9" s="1029"/>
      <c r="AB9" s="357">
        <v>3.1300000000000001E-2</v>
      </c>
    </row>
    <row r="10" spans="1:28" ht="42" customHeight="1" x14ac:dyDescent="0.25">
      <c r="A10" s="462" t="s">
        <v>2</v>
      </c>
      <c r="B10" s="1034" t="s">
        <v>1070</v>
      </c>
      <c r="C10" s="1035"/>
      <c r="D10" s="1035"/>
      <c r="E10" s="1035"/>
      <c r="G10" s="997"/>
      <c r="M10" s="7"/>
      <c r="Z10" s="1028"/>
      <c r="AA10" s="1029"/>
      <c r="AB10" s="357"/>
    </row>
    <row r="11" spans="1:28" ht="32.25" customHeight="1" x14ac:dyDescent="0.25">
      <c r="A11" s="462" t="s">
        <v>29</v>
      </c>
      <c r="B11" s="1034"/>
      <c r="C11" s="1035"/>
      <c r="D11" s="1035"/>
      <c r="E11" s="1035"/>
      <c r="G11" s="254">
        <v>4</v>
      </c>
      <c r="H11" s="131" t="s">
        <v>932</v>
      </c>
      <c r="Z11" s="1028" t="s">
        <v>613</v>
      </c>
      <c r="AA11" s="1029"/>
      <c r="AB11" s="357">
        <v>0.26819999999999999</v>
      </c>
    </row>
    <row r="12" spans="1:28" ht="30" customHeight="1" x14ac:dyDescent="0.25">
      <c r="A12" s="462" t="s">
        <v>14</v>
      </c>
      <c r="B12" s="1010" t="s">
        <v>607</v>
      </c>
      <c r="C12" s="1010"/>
      <c r="D12" s="1010"/>
      <c r="E12" s="1010"/>
      <c r="Z12" s="1028" t="s">
        <v>614</v>
      </c>
      <c r="AA12" s="1029"/>
      <c r="AB12" s="357">
        <v>1.18E-2</v>
      </c>
    </row>
    <row r="13" spans="1:28" ht="30" customHeight="1" x14ac:dyDescent="0.25">
      <c r="A13" s="462" t="s">
        <v>3</v>
      </c>
      <c r="B13" s="1010"/>
      <c r="C13" s="1010"/>
      <c r="D13" s="1010"/>
      <c r="E13" s="1010"/>
      <c r="G13" s="59" t="s">
        <v>934</v>
      </c>
      <c r="H13" s="59" t="s">
        <v>174</v>
      </c>
      <c r="I13" s="59" t="s">
        <v>175</v>
      </c>
      <c r="J13" s="59" t="s">
        <v>176</v>
      </c>
      <c r="K13" s="59" t="s">
        <v>143</v>
      </c>
      <c r="L13" s="60" t="s">
        <v>177</v>
      </c>
      <c r="M13" s="60" t="s">
        <v>178</v>
      </c>
      <c r="N13" s="59" t="s">
        <v>935</v>
      </c>
      <c r="O13" s="60" t="s">
        <v>169</v>
      </c>
      <c r="Z13" s="1028" t="s">
        <v>615</v>
      </c>
      <c r="AA13" s="1029"/>
      <c r="AB13" s="358">
        <f>AB15/0.55</f>
        <v>0.50363636363636366</v>
      </c>
    </row>
    <row r="14" spans="1:28" ht="30" customHeight="1" x14ac:dyDescent="0.25">
      <c r="A14" s="462" t="s">
        <v>15</v>
      </c>
      <c r="B14" s="1010"/>
      <c r="C14" s="1010"/>
      <c r="D14" s="1010"/>
      <c r="E14" s="1010"/>
      <c r="G14" s="460">
        <f>G11</f>
        <v>4</v>
      </c>
      <c r="H14" s="460">
        <v>1</v>
      </c>
      <c r="I14" s="460">
        <v>0.49</v>
      </c>
      <c r="J14" s="460">
        <v>0.04</v>
      </c>
      <c r="K14" s="460">
        <v>65</v>
      </c>
      <c r="L14" s="461">
        <v>365</v>
      </c>
      <c r="M14" s="461">
        <v>24</v>
      </c>
      <c r="N14" s="460">
        <v>5000</v>
      </c>
      <c r="O14" s="360">
        <f>AB13</f>
        <v>0.50363636363636366</v>
      </c>
      <c r="Z14" s="1028" t="s">
        <v>616</v>
      </c>
      <c r="AA14" s="1029"/>
      <c r="AB14" s="357">
        <v>0.26819999999999999</v>
      </c>
    </row>
    <row r="15" spans="1:28" ht="30" customHeight="1" x14ac:dyDescent="0.25">
      <c r="A15" s="462" t="s">
        <v>4</v>
      </c>
      <c r="B15" s="1010">
        <v>2017</v>
      </c>
      <c r="C15" s="1010"/>
      <c r="D15" s="1010"/>
      <c r="E15" s="1010"/>
      <c r="Z15" s="1028" t="s">
        <v>578</v>
      </c>
      <c r="AA15" s="1029"/>
      <c r="AB15" s="357">
        <v>0.27700000000000002</v>
      </c>
    </row>
    <row r="16" spans="1:28" ht="30" customHeight="1" x14ac:dyDescent="0.25">
      <c r="A16" s="462" t="s">
        <v>5</v>
      </c>
      <c r="B16" s="1010">
        <v>2017</v>
      </c>
      <c r="C16" s="1010"/>
      <c r="D16" s="1010"/>
      <c r="E16" s="1010"/>
      <c r="G16" s="527" t="s">
        <v>502</v>
      </c>
      <c r="H16" s="527" t="s">
        <v>932</v>
      </c>
      <c r="I16" s="78" t="s">
        <v>933</v>
      </c>
      <c r="J16" s="527"/>
      <c r="Z16" s="1028" t="s">
        <v>579</v>
      </c>
      <c r="AA16" s="1029"/>
      <c r="AB16" s="357">
        <v>0.20269999999999999</v>
      </c>
    </row>
    <row r="17" spans="1:10" ht="30" customHeight="1" x14ac:dyDescent="0.25">
      <c r="A17" s="462" t="s">
        <v>6</v>
      </c>
      <c r="B17" s="1000">
        <v>50000</v>
      </c>
      <c r="C17" s="1000"/>
      <c r="D17" s="1000"/>
      <c r="E17" s="1000"/>
      <c r="G17" s="527"/>
      <c r="H17" s="527"/>
      <c r="I17" s="527">
        <v>0.49</v>
      </c>
      <c r="J17" s="527"/>
    </row>
    <row r="18" spans="1:10" ht="30" customHeight="1" x14ac:dyDescent="0.25">
      <c r="A18" s="462" t="s">
        <v>7</v>
      </c>
      <c r="B18" s="1000">
        <f>B17*0.2</f>
        <v>10000</v>
      </c>
      <c r="C18" s="1000"/>
      <c r="D18" s="1000"/>
      <c r="E18" s="1000"/>
      <c r="G18" s="527"/>
      <c r="H18" s="527"/>
      <c r="I18" s="527">
        <v>0.49</v>
      </c>
      <c r="J18" s="527"/>
    </row>
    <row r="19" spans="1:10" ht="30" customHeight="1" x14ac:dyDescent="0.25">
      <c r="A19" s="106" t="s">
        <v>307</v>
      </c>
      <c r="B19" s="1013"/>
      <c r="C19" s="1014"/>
      <c r="D19" s="1014"/>
      <c r="E19" s="1014"/>
      <c r="G19" s="527"/>
      <c r="H19" s="527"/>
      <c r="I19" s="527"/>
      <c r="J19" s="527"/>
    </row>
    <row r="20" spans="1:10" ht="30" customHeight="1" x14ac:dyDescent="0.25">
      <c r="A20" s="97" t="s">
        <v>306</v>
      </c>
      <c r="B20" s="1006">
        <f>G14*H14*I14*L14*M14</f>
        <v>17169.599999999999</v>
      </c>
      <c r="C20" s="1007"/>
      <c r="D20" s="1007"/>
      <c r="E20" s="1007"/>
      <c r="G20" s="527"/>
      <c r="H20" s="527"/>
      <c r="I20" s="527"/>
      <c r="J20" s="527"/>
    </row>
    <row r="21" spans="1:10" ht="30" customHeight="1" x14ac:dyDescent="0.25">
      <c r="A21" s="462" t="s">
        <v>8</v>
      </c>
      <c r="B21" s="1000">
        <f>B20*J14</f>
        <v>686.78399999999999</v>
      </c>
      <c r="C21" s="1000"/>
      <c r="D21" s="1000"/>
      <c r="E21" s="1000"/>
      <c r="G21" s="527"/>
      <c r="H21" s="527"/>
      <c r="I21" s="527"/>
      <c r="J21" s="527"/>
    </row>
    <row r="22" spans="1:10" ht="30" customHeight="1" x14ac:dyDescent="0.25">
      <c r="A22" s="462" t="s">
        <v>9</v>
      </c>
      <c r="B22" s="1000">
        <f>B20/1000*K14</f>
        <v>1116.0239999999999</v>
      </c>
      <c r="C22" s="1000"/>
      <c r="D22" s="1000"/>
      <c r="E22" s="1000"/>
      <c r="G22" s="527"/>
      <c r="H22" s="527"/>
      <c r="I22" s="527"/>
      <c r="J22" s="527"/>
    </row>
    <row r="23" spans="1:10" ht="30" customHeight="1" x14ac:dyDescent="0.25">
      <c r="A23" s="462" t="s">
        <v>301</v>
      </c>
      <c r="B23" s="1016">
        <f>B17/(B21+B22)</f>
        <v>27.7345119391527</v>
      </c>
      <c r="C23" s="1016"/>
      <c r="D23" s="1016"/>
      <c r="E23" s="1016"/>
      <c r="G23" s="527"/>
      <c r="H23" s="527"/>
      <c r="I23" s="527"/>
      <c r="J23" s="527"/>
    </row>
    <row r="24" spans="1:10" ht="30" customHeight="1" x14ac:dyDescent="0.25">
      <c r="A24" s="462" t="s">
        <v>330</v>
      </c>
      <c r="B24" s="1017">
        <f>(B17-B18)/(B21+B22)</f>
        <v>22.187609551322161</v>
      </c>
      <c r="C24" s="1017"/>
      <c r="D24" s="1017"/>
      <c r="E24" s="1017"/>
      <c r="G24" s="527"/>
      <c r="H24" s="527">
        <f>SUM(H17:H23)</f>
        <v>0</v>
      </c>
      <c r="I24" s="527"/>
      <c r="J24" s="527"/>
    </row>
    <row r="25" spans="1:10" ht="30" customHeight="1" x14ac:dyDescent="0.25">
      <c r="A25" s="100" t="s">
        <v>305</v>
      </c>
      <c r="B25" s="1070">
        <f>B20/1000*O14</f>
        <v>8.6472349090909084</v>
      </c>
      <c r="C25" s="1070"/>
      <c r="D25" s="1070"/>
      <c r="E25" s="1070"/>
    </row>
    <row r="26" spans="1:10" ht="30" customHeight="1" x14ac:dyDescent="0.25">
      <c r="A26" s="101" t="s">
        <v>303</v>
      </c>
      <c r="B26" s="1019">
        <f>B25/'[2]Objectifs CO2'!$C$6</f>
        <v>5.8101423833171455E-2</v>
      </c>
      <c r="C26" s="1019"/>
      <c r="D26" s="1019"/>
      <c r="E26" s="1019"/>
    </row>
    <row r="27" spans="1:10" ht="30" customHeight="1" x14ac:dyDescent="0.25">
      <c r="A27" s="101" t="s">
        <v>304</v>
      </c>
      <c r="B27" s="1021">
        <f>B25/'[2]Objectifs CO2'!$C$4</f>
        <v>2.9050711916585726E-3</v>
      </c>
      <c r="C27" s="1021"/>
      <c r="D27" s="1021"/>
      <c r="E27" s="1021"/>
    </row>
    <row r="28" spans="1:10" ht="30" customHeight="1" x14ac:dyDescent="0.25">
      <c r="A28" s="101" t="s">
        <v>22</v>
      </c>
      <c r="B28" s="999"/>
      <c r="C28" s="999"/>
      <c r="D28" s="999"/>
      <c r="E28" s="999"/>
    </row>
    <row r="29" spans="1:10" ht="30" customHeight="1" x14ac:dyDescent="0.25">
      <c r="A29" s="101" t="s">
        <v>257</v>
      </c>
      <c r="B29" s="999"/>
      <c r="C29" s="999"/>
      <c r="D29" s="999"/>
      <c r="E29" s="999"/>
    </row>
    <row r="31" spans="1:10" x14ac:dyDescent="0.25">
      <c r="A31" s="603" t="s">
        <v>1065</v>
      </c>
      <c r="B31" s="1003" t="s">
        <v>675</v>
      </c>
      <c r="C31" s="1003"/>
      <c r="D31" s="1003"/>
      <c r="E31" s="454" t="s">
        <v>676</v>
      </c>
    </row>
    <row r="32" spans="1:10"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G8:G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29:E29"/>
    <mergeCell ref="B31:D31"/>
    <mergeCell ref="B32:D32"/>
    <mergeCell ref="G32:I32"/>
    <mergeCell ref="B33:D33"/>
    <mergeCell ref="H33:I33"/>
    <mergeCell ref="B44:D44"/>
    <mergeCell ref="B34:D34"/>
    <mergeCell ref="H34:I34"/>
    <mergeCell ref="B35:D35"/>
    <mergeCell ref="H35:I35"/>
    <mergeCell ref="B36:D36"/>
    <mergeCell ref="B37:D37"/>
    <mergeCell ref="B38:D38"/>
    <mergeCell ref="B39:D39"/>
    <mergeCell ref="B40:D40"/>
    <mergeCell ref="G40:I40"/>
    <mergeCell ref="B42:D42"/>
    <mergeCell ref="B41:D41"/>
  </mergeCells>
  <conditionalFormatting sqref="B5">
    <cfRule type="containsText" dxfId="98" priority="1" operator="containsText" text="Terminé">
      <formula>NOT(ISERROR(SEARCH("Terminé",B5)))</formula>
    </cfRule>
    <cfRule type="containsText" dxfId="97" priority="2" operator="containsText" text="En cours">
      <formula>NOT(ISERROR(SEARCH("En cours",B5)))</formula>
    </cfRule>
    <cfRule type="containsText" dxfId="9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zoomScaleNormal="100" workbookViewId="0">
      <selection activeCell="B5" sqref="B5:E5"/>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795</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36</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414</v>
      </c>
      <c r="C6" s="993"/>
      <c r="D6" s="993"/>
      <c r="E6" s="993"/>
      <c r="F6" s="7"/>
      <c r="G6" s="986" t="s">
        <v>755</v>
      </c>
      <c r="H6" s="986"/>
      <c r="I6" s="6"/>
      <c r="J6" s="6"/>
      <c r="Z6" s="1026"/>
      <c r="AA6" s="1027"/>
      <c r="AB6" s="357" t="s">
        <v>610</v>
      </c>
    </row>
    <row r="7" spans="1:28" s="6" customFormat="1" ht="19.5" customHeight="1" x14ac:dyDescent="0.25">
      <c r="A7" s="253" t="s">
        <v>475</v>
      </c>
      <c r="B7" s="994" t="s">
        <v>248</v>
      </c>
      <c r="C7" s="994"/>
      <c r="D7" s="994"/>
      <c r="E7" s="994"/>
      <c r="F7" s="7"/>
      <c r="G7" s="995" t="s">
        <v>756</v>
      </c>
      <c r="H7" s="995"/>
      <c r="I7" s="400"/>
      <c r="J7" s="400"/>
      <c r="Z7" s="401"/>
      <c r="AA7" s="402"/>
      <c r="AB7" s="357"/>
    </row>
    <row r="8" spans="1:28" ht="24" customHeight="1" x14ac:dyDescent="0.25">
      <c r="A8" s="98" t="s">
        <v>1</v>
      </c>
      <c r="B8" s="967" t="s">
        <v>35</v>
      </c>
      <c r="C8" s="967"/>
      <c r="D8" s="967"/>
      <c r="E8" s="967"/>
      <c r="F8" s="6"/>
      <c r="G8" s="997" t="s">
        <v>936</v>
      </c>
      <c r="H8" s="6"/>
      <c r="I8" s="6"/>
      <c r="J8" s="6"/>
      <c r="K8" s="6"/>
      <c r="L8" s="6"/>
      <c r="M8" s="6"/>
      <c r="N8" s="6"/>
      <c r="O8" s="6"/>
      <c r="Z8" s="1028" t="s">
        <v>611</v>
      </c>
      <c r="AA8" s="1029"/>
      <c r="AB8" s="357">
        <v>0.26819999999999999</v>
      </c>
    </row>
    <row r="9" spans="1:28" ht="24" customHeight="1" x14ac:dyDescent="0.25">
      <c r="A9" s="98" t="s">
        <v>0</v>
      </c>
      <c r="B9" s="967" t="s">
        <v>1062</v>
      </c>
      <c r="C9" s="967"/>
      <c r="D9" s="967"/>
      <c r="E9" s="967"/>
      <c r="F9" s="6"/>
      <c r="G9" s="997"/>
      <c r="H9" s="6"/>
      <c r="I9" s="6"/>
      <c r="J9" s="6"/>
      <c r="K9" s="6"/>
      <c r="L9" s="6"/>
      <c r="M9" s="6"/>
      <c r="N9" s="6"/>
      <c r="O9" s="6"/>
      <c r="Z9" s="1028" t="s">
        <v>612</v>
      </c>
      <c r="AA9" s="1029"/>
      <c r="AB9" s="357">
        <v>3.1300000000000001E-2</v>
      </c>
    </row>
    <row r="10" spans="1:28" ht="15.75" x14ac:dyDescent="0.25">
      <c r="A10" s="98" t="s">
        <v>2</v>
      </c>
      <c r="B10" s="1034" t="s">
        <v>213</v>
      </c>
      <c r="C10" s="1035"/>
      <c r="D10" s="1035"/>
      <c r="E10" s="1035"/>
      <c r="F10" s="6"/>
      <c r="G10" s="997"/>
      <c r="H10" s="6"/>
      <c r="I10" s="6"/>
      <c r="J10" s="6"/>
      <c r="K10" s="6"/>
      <c r="L10" s="6"/>
      <c r="M10" s="7"/>
      <c r="Z10" s="1028"/>
      <c r="AA10" s="1029"/>
      <c r="AB10" s="357"/>
    </row>
    <row r="11" spans="1:28" ht="30" x14ac:dyDescent="0.25">
      <c r="A11" s="98" t="s">
        <v>29</v>
      </c>
      <c r="B11" s="1035" t="s">
        <v>214</v>
      </c>
      <c r="C11" s="1035"/>
      <c r="D11" s="1035"/>
      <c r="E11" s="1035"/>
      <c r="F11" s="6"/>
      <c r="G11" s="254">
        <v>1</v>
      </c>
      <c r="H11" s="131" t="s">
        <v>830</v>
      </c>
      <c r="I11" s="6"/>
      <c r="J11" s="6"/>
      <c r="K11" s="6"/>
      <c r="L11" s="6"/>
      <c r="Z11" s="1028" t="s">
        <v>613</v>
      </c>
      <c r="AA11" s="1029"/>
      <c r="AB11" s="357">
        <v>0.26819999999999999</v>
      </c>
    </row>
    <row r="12" spans="1:28" ht="30" customHeight="1" x14ac:dyDescent="0.25">
      <c r="A12" s="98" t="s">
        <v>14</v>
      </c>
      <c r="B12" s="1010" t="s">
        <v>36</v>
      </c>
      <c r="C12" s="1010"/>
      <c r="D12" s="1010"/>
      <c r="E12" s="1010"/>
      <c r="F12" s="6"/>
      <c r="Z12" s="1028" t="s">
        <v>614</v>
      </c>
      <c r="AA12" s="1029"/>
      <c r="AB12" s="357">
        <v>1.18E-2</v>
      </c>
    </row>
    <row r="13" spans="1:28" ht="30" customHeight="1" x14ac:dyDescent="0.25">
      <c r="A13" s="98" t="s">
        <v>3</v>
      </c>
      <c r="B13" s="1010"/>
      <c r="C13" s="1010"/>
      <c r="D13" s="1010"/>
      <c r="E13" s="1010"/>
      <c r="F13" s="6"/>
      <c r="G13" s="60" t="s">
        <v>180</v>
      </c>
      <c r="H13" s="60" t="s">
        <v>181</v>
      </c>
      <c r="I13" s="60" t="s">
        <v>182</v>
      </c>
      <c r="J13" s="60" t="s">
        <v>183</v>
      </c>
      <c r="K13" s="60" t="s">
        <v>184</v>
      </c>
      <c r="L13" s="60" t="s">
        <v>185</v>
      </c>
      <c r="M13" s="60" t="s">
        <v>186</v>
      </c>
      <c r="N13" s="60" t="s">
        <v>150</v>
      </c>
      <c r="O13" s="60" t="s">
        <v>169</v>
      </c>
      <c r="Z13" s="1028" t="s">
        <v>615</v>
      </c>
      <c r="AA13" s="1029"/>
      <c r="AB13" s="358">
        <f>AB15/0.55</f>
        <v>0.50363636363636366</v>
      </c>
    </row>
    <row r="14" spans="1:28" ht="30" customHeight="1" x14ac:dyDescent="0.25">
      <c r="A14" s="98" t="s">
        <v>15</v>
      </c>
      <c r="B14" s="1010" t="s">
        <v>505</v>
      </c>
      <c r="C14" s="1010"/>
      <c r="D14" s="1010"/>
      <c r="E14" s="1010"/>
      <c r="F14" s="6"/>
      <c r="G14" s="60">
        <f>G17*H17</f>
        <v>90</v>
      </c>
      <c r="H14" s="60">
        <v>2600</v>
      </c>
      <c r="I14" s="60">
        <v>0.55000000000000004</v>
      </c>
      <c r="J14" s="60">
        <v>0.46</v>
      </c>
      <c r="K14" s="60">
        <v>0.54</v>
      </c>
      <c r="L14" s="60">
        <f>G14*I14*H14*J14</f>
        <v>59202.000000000007</v>
      </c>
      <c r="M14" s="60">
        <f>G14*I14*H14*K14</f>
        <v>69498.000000000015</v>
      </c>
      <c r="N14" s="60">
        <f>AB8</f>
        <v>0.26819999999999999</v>
      </c>
      <c r="O14" s="359">
        <f>AB13</f>
        <v>0.50363636363636366</v>
      </c>
      <c r="Z14" s="1028" t="s">
        <v>616</v>
      </c>
      <c r="AA14" s="1029"/>
      <c r="AB14" s="357">
        <v>0.26819999999999999</v>
      </c>
    </row>
    <row r="15" spans="1:28" ht="30" customHeight="1" x14ac:dyDescent="0.25">
      <c r="A15" s="98" t="s">
        <v>4</v>
      </c>
      <c r="B15" s="1010">
        <v>2020</v>
      </c>
      <c r="C15" s="1010"/>
      <c r="D15" s="1010"/>
      <c r="E15" s="1010"/>
      <c r="F15" s="6"/>
      <c r="G15" s="54"/>
      <c r="H15" s="54"/>
      <c r="I15" s="54"/>
      <c r="J15" s="54">
        <f>B20*J14</f>
        <v>59202.000000000007</v>
      </c>
      <c r="K15" s="54">
        <f>B20*K14</f>
        <v>69498.000000000015</v>
      </c>
      <c r="L15" s="54"/>
      <c r="M15" s="54"/>
      <c r="N15" s="54"/>
      <c r="O15" s="54"/>
      <c r="Z15" s="1028" t="s">
        <v>578</v>
      </c>
      <c r="AA15" s="1029"/>
      <c r="AB15" s="357">
        <v>0.27700000000000002</v>
      </c>
    </row>
    <row r="16" spans="1:28" ht="30" customHeight="1" x14ac:dyDescent="0.25">
      <c r="A16" s="98" t="s">
        <v>5</v>
      </c>
      <c r="B16" s="1010">
        <v>2030</v>
      </c>
      <c r="C16" s="1010"/>
      <c r="D16" s="1010"/>
      <c r="E16" s="1010"/>
      <c r="F16" s="6"/>
      <c r="G16" s="59" t="s">
        <v>215</v>
      </c>
      <c r="H16" s="59" t="s">
        <v>216</v>
      </c>
      <c r="I16" s="59" t="s">
        <v>299</v>
      </c>
      <c r="J16" s="59" t="s">
        <v>298</v>
      </c>
      <c r="K16" s="54"/>
      <c r="L16" s="54"/>
      <c r="M16" s="54"/>
      <c r="N16" s="54"/>
      <c r="O16" s="54"/>
      <c r="Z16" s="1028" t="s">
        <v>579</v>
      </c>
      <c r="AA16" s="1029"/>
      <c r="AB16" s="357">
        <v>0.20269999999999999</v>
      </c>
    </row>
    <row r="17" spans="1:15" ht="30" customHeight="1" x14ac:dyDescent="0.25">
      <c r="A17" s="98" t="s">
        <v>6</v>
      </c>
      <c r="B17" s="1000">
        <f>G17*I17</f>
        <v>120000</v>
      </c>
      <c r="C17" s="1000"/>
      <c r="D17" s="1000"/>
      <c r="E17" s="1000"/>
      <c r="F17" s="6"/>
      <c r="G17" s="59">
        <f>SUM(G11:L11)</f>
        <v>1</v>
      </c>
      <c r="H17" s="59">
        <v>90</v>
      </c>
      <c r="I17" s="59">
        <v>120000</v>
      </c>
      <c r="J17" s="59">
        <v>65</v>
      </c>
      <c r="K17" s="54"/>
      <c r="L17" s="54"/>
      <c r="M17" s="54"/>
      <c r="N17" s="54"/>
      <c r="O17" s="54"/>
    </row>
    <row r="18" spans="1:15" ht="30" customHeight="1" x14ac:dyDescent="0.25">
      <c r="A18" s="98" t="s">
        <v>7</v>
      </c>
      <c r="B18" s="1000">
        <f>B17*0.3</f>
        <v>36000</v>
      </c>
      <c r="C18" s="1000"/>
      <c r="D18" s="1000"/>
      <c r="E18" s="1000"/>
      <c r="F18" s="6"/>
      <c r="G18" s="6"/>
      <c r="H18" s="6"/>
      <c r="I18" s="6"/>
      <c r="J18" s="6"/>
      <c r="K18" s="6"/>
      <c r="L18" s="6"/>
      <c r="M18" s="6"/>
      <c r="N18" s="6"/>
      <c r="O18" s="6"/>
    </row>
    <row r="19" spans="1:15" ht="30" customHeight="1" x14ac:dyDescent="0.25">
      <c r="A19" s="99" t="s">
        <v>307</v>
      </c>
      <c r="B19" s="1039"/>
      <c r="C19" s="1040"/>
      <c r="D19" s="1040"/>
      <c r="E19" s="1040"/>
      <c r="F19" s="6"/>
      <c r="G19" s="2"/>
      <c r="H19" s="2"/>
      <c r="I19" s="6"/>
      <c r="J19" s="6"/>
      <c r="K19" s="6"/>
      <c r="L19" s="6"/>
      <c r="M19" s="6"/>
      <c r="N19" s="6"/>
      <c r="O19" s="6"/>
    </row>
    <row r="20" spans="1:15" ht="30" customHeight="1" x14ac:dyDescent="0.25">
      <c r="A20" s="96" t="s">
        <v>306</v>
      </c>
      <c r="B20" s="1041">
        <f>G14*I14*H14</f>
        <v>128700.00000000001</v>
      </c>
      <c r="C20" s="1042"/>
      <c r="D20" s="1042"/>
      <c r="E20" s="1042"/>
      <c r="F20" s="6"/>
      <c r="G20" s="6"/>
      <c r="H20" s="6"/>
      <c r="I20" s="6"/>
      <c r="J20" s="6"/>
      <c r="K20" s="6"/>
      <c r="L20" s="6"/>
      <c r="M20" s="6"/>
      <c r="N20" s="6"/>
      <c r="O20" s="6"/>
    </row>
    <row r="21" spans="1:15" ht="30" customHeight="1" x14ac:dyDescent="0.25">
      <c r="A21" s="98" t="s">
        <v>8</v>
      </c>
      <c r="B21" s="1000">
        <f>B19/2*(0.19+0.08933)</f>
        <v>0</v>
      </c>
      <c r="C21" s="1000"/>
      <c r="D21" s="1000"/>
      <c r="E21" s="1000"/>
      <c r="F21" s="6"/>
      <c r="G21" s="6"/>
      <c r="H21" s="6"/>
      <c r="I21" s="6"/>
      <c r="J21" s="6"/>
      <c r="K21" s="6"/>
      <c r="L21" s="6"/>
      <c r="M21" s="6"/>
      <c r="N21" s="6"/>
      <c r="O21" s="6"/>
    </row>
    <row r="22" spans="1:15" ht="30" customHeight="1" x14ac:dyDescent="0.25">
      <c r="A22" s="98" t="s">
        <v>9</v>
      </c>
      <c r="B22" s="1000">
        <f>B20/1000*J17</f>
        <v>8365.5000000000018</v>
      </c>
      <c r="C22" s="1000"/>
      <c r="D22" s="1000"/>
      <c r="E22" s="1000"/>
      <c r="F22" s="6"/>
      <c r="G22" s="6"/>
      <c r="H22" s="6"/>
      <c r="I22" s="6"/>
      <c r="J22" s="6"/>
      <c r="K22" s="6"/>
      <c r="L22" s="6"/>
      <c r="M22" s="6"/>
      <c r="N22" s="6"/>
      <c r="O22" s="6"/>
    </row>
    <row r="23" spans="1:15" ht="30" customHeight="1" x14ac:dyDescent="0.25">
      <c r="A23" s="98" t="s">
        <v>301</v>
      </c>
      <c r="B23" s="1016">
        <f>B17/(B21+B22)</f>
        <v>14.34462972924511</v>
      </c>
      <c r="C23" s="1016"/>
      <c r="D23" s="1016"/>
      <c r="E23" s="1016"/>
      <c r="F23" s="6"/>
      <c r="G23" s="6"/>
      <c r="H23" s="6"/>
      <c r="I23" s="6"/>
      <c r="J23" s="6"/>
      <c r="K23" s="6"/>
      <c r="L23" s="6"/>
      <c r="M23" s="6"/>
      <c r="N23" s="6"/>
      <c r="O23" s="6"/>
    </row>
    <row r="24" spans="1:15" ht="30" customHeight="1" x14ac:dyDescent="0.25">
      <c r="A24" s="98" t="s">
        <v>302</v>
      </c>
      <c r="B24" s="1017">
        <f>(B17-B18)/(B21+B22)</f>
        <v>10.041240810471578</v>
      </c>
      <c r="C24" s="1017"/>
      <c r="D24" s="1017"/>
      <c r="E24" s="1017"/>
      <c r="F24" s="6"/>
      <c r="G24" s="6"/>
      <c r="H24" s="6"/>
      <c r="I24" s="6"/>
      <c r="J24" s="6"/>
      <c r="K24" s="6"/>
      <c r="L24" s="6"/>
      <c r="M24" s="6"/>
      <c r="N24" s="6"/>
      <c r="O24" s="6"/>
    </row>
    <row r="25" spans="1:15" ht="30" customHeight="1" x14ac:dyDescent="0.25">
      <c r="A25" s="100" t="s">
        <v>305</v>
      </c>
      <c r="B25" s="1070">
        <f>(L14/1000*O14)+(M14/1000*N14)</f>
        <v>48.455643600000002</v>
      </c>
      <c r="C25" s="1070"/>
      <c r="D25" s="1070"/>
      <c r="E25" s="1070"/>
      <c r="F25" s="6"/>
      <c r="G25" s="6"/>
      <c r="H25" s="6"/>
      <c r="I25" s="6"/>
      <c r="J25" s="6"/>
      <c r="K25" s="6"/>
      <c r="L25" s="6"/>
      <c r="M25" s="6"/>
      <c r="N25" s="6"/>
      <c r="O25" s="6"/>
    </row>
    <row r="26" spans="1:15" ht="30" customHeight="1" x14ac:dyDescent="0.25">
      <c r="A26" s="101" t="s">
        <v>303</v>
      </c>
      <c r="B26" s="1058">
        <f>B25/'Objectifs CO2'!C6</f>
        <v>4.4697235255610257E-2</v>
      </c>
      <c r="C26" s="1058"/>
      <c r="D26" s="1058"/>
      <c r="E26" s="1058"/>
    </row>
    <row r="27" spans="1:15" ht="30" customHeight="1" x14ac:dyDescent="0.25">
      <c r="A27" s="101" t="s">
        <v>304</v>
      </c>
      <c r="B27" s="1056">
        <f>B25/'Objectifs CO2'!C4</f>
        <v>2.2348617627805127E-3</v>
      </c>
      <c r="C27" s="1057"/>
      <c r="D27" s="1057"/>
      <c r="E27" s="1057"/>
    </row>
    <row r="28" spans="1:15" ht="30" customHeight="1" x14ac:dyDescent="0.25">
      <c r="A28" s="101" t="s">
        <v>22</v>
      </c>
      <c r="B28" s="999"/>
      <c r="C28" s="999"/>
      <c r="D28" s="999"/>
      <c r="E28" s="999"/>
    </row>
    <row r="29" spans="1:15" ht="30" customHeight="1" x14ac:dyDescent="0.25">
      <c r="A29" s="101" t="s">
        <v>257</v>
      </c>
      <c r="B29" s="999"/>
      <c r="C29" s="999"/>
      <c r="D29" s="999"/>
      <c r="E29" s="999"/>
    </row>
    <row r="31" spans="1:15" x14ac:dyDescent="0.25">
      <c r="A31" s="603" t="s">
        <v>1065</v>
      </c>
      <c r="B31" s="1003" t="s">
        <v>675</v>
      </c>
      <c r="C31" s="1003"/>
      <c r="D31" s="1003"/>
      <c r="E31" s="56" t="s">
        <v>676</v>
      </c>
      <c r="F31" s="6"/>
      <c r="G31" s="6"/>
      <c r="H31" s="6"/>
      <c r="I31" s="6"/>
    </row>
    <row r="32" spans="1:15"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35:D35"/>
    <mergeCell ref="H35:I35"/>
    <mergeCell ref="B36:D36"/>
    <mergeCell ref="B42:D42"/>
    <mergeCell ref="B44:D44"/>
    <mergeCell ref="B37:D37"/>
    <mergeCell ref="G59:L59"/>
    <mergeCell ref="B60:F60"/>
    <mergeCell ref="G60:L60"/>
    <mergeCell ref="G46:L46"/>
    <mergeCell ref="B38:D38"/>
    <mergeCell ref="B39:D39"/>
    <mergeCell ref="B40:D40"/>
    <mergeCell ref="B41:D41"/>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B10:E10"/>
    <mergeCell ref="B19:E19"/>
    <mergeCell ref="B20:E20"/>
    <mergeCell ref="B18:E18"/>
    <mergeCell ref="B24:E24"/>
    <mergeCell ref="B25:E25"/>
    <mergeCell ref="B23:E23"/>
    <mergeCell ref="B26:E26"/>
    <mergeCell ref="B21:E21"/>
    <mergeCell ref="B22:E22"/>
    <mergeCell ref="B29:E29"/>
    <mergeCell ref="B28:E28"/>
    <mergeCell ref="B16:E16"/>
    <mergeCell ref="B11:E11"/>
    <mergeCell ref="B12:E12"/>
    <mergeCell ref="B13:E13"/>
    <mergeCell ref="B14:E14"/>
    <mergeCell ref="B15:E15"/>
    <mergeCell ref="B27:E27"/>
    <mergeCell ref="B17:E17"/>
    <mergeCell ref="B33:D33"/>
    <mergeCell ref="H33:I33"/>
    <mergeCell ref="G40:I40"/>
    <mergeCell ref="B34:D34"/>
    <mergeCell ref="H34:I34"/>
    <mergeCell ref="B8:E8"/>
    <mergeCell ref="B9:E9"/>
    <mergeCell ref="A1:E1"/>
    <mergeCell ref="B2:E2"/>
    <mergeCell ref="G2:H2"/>
    <mergeCell ref="B3:E3"/>
    <mergeCell ref="G3:H3"/>
    <mergeCell ref="B4:E4"/>
    <mergeCell ref="B5:E5"/>
    <mergeCell ref="B6:E6"/>
    <mergeCell ref="B7:E7"/>
    <mergeCell ref="G6:H6"/>
    <mergeCell ref="G4:H4"/>
    <mergeCell ref="G5:H5"/>
    <mergeCell ref="G7:H7"/>
    <mergeCell ref="B31:D31"/>
    <mergeCell ref="B32:D32"/>
    <mergeCell ref="G32:I32"/>
    <mergeCell ref="G8:G10"/>
  </mergeCells>
  <conditionalFormatting sqref="B5">
    <cfRule type="containsText" dxfId="95" priority="1" operator="containsText" text="Terminé">
      <formula>NOT(ISERROR(SEARCH("Terminé",B5)))</formula>
    </cfRule>
    <cfRule type="containsText" dxfId="94" priority="2" operator="containsText" text="En cours">
      <formula>NOT(ISERROR(SEARCH("En cours",B5)))</formula>
    </cfRule>
    <cfRule type="containsText" dxfId="9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B69"/>
  <sheetViews>
    <sheetView topLeftCell="B13" zoomScaleNormal="100" workbookViewId="0">
      <selection activeCell="B16" sqref="B16:E16"/>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794</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36</v>
      </c>
      <c r="C4" s="996"/>
      <c r="D4" s="996"/>
      <c r="E4" s="996"/>
      <c r="F4" s="7"/>
      <c r="G4" s="986" t="s">
        <v>753</v>
      </c>
      <c r="H4" s="986"/>
      <c r="I4" s="6"/>
      <c r="J4" s="6"/>
    </row>
    <row r="5" spans="1:28" ht="19.5" customHeight="1" x14ac:dyDescent="0.25">
      <c r="A5" s="403" t="s">
        <v>16</v>
      </c>
      <c r="B5" s="1015" t="s">
        <v>41</v>
      </c>
      <c r="C5" s="1015"/>
      <c r="D5" s="1015"/>
      <c r="E5" s="1015"/>
      <c r="F5" s="7"/>
      <c r="G5" s="986" t="s">
        <v>754</v>
      </c>
      <c r="H5" s="986"/>
      <c r="I5" s="6"/>
      <c r="J5" s="6"/>
      <c r="Z5" s="1023" t="s">
        <v>609</v>
      </c>
      <c r="AA5" s="1024"/>
      <c r="AB5" s="1025"/>
    </row>
    <row r="6" spans="1:28" ht="19.5" customHeight="1" x14ac:dyDescent="0.25">
      <c r="A6" s="413" t="s">
        <v>474</v>
      </c>
      <c r="B6" s="993" t="s">
        <v>417</v>
      </c>
      <c r="C6" s="993"/>
      <c r="D6" s="993"/>
      <c r="E6" s="993"/>
      <c r="F6" s="7"/>
      <c r="G6" s="986" t="s">
        <v>755</v>
      </c>
      <c r="H6" s="986"/>
      <c r="I6" s="6"/>
      <c r="J6" s="6"/>
      <c r="Z6" s="1026"/>
      <c r="AA6" s="1027"/>
      <c r="AB6" s="357" t="s">
        <v>610</v>
      </c>
    </row>
    <row r="7" spans="1:28" s="6" customFormat="1" ht="19.5" customHeight="1" x14ac:dyDescent="0.25">
      <c r="A7" s="253" t="s">
        <v>475</v>
      </c>
      <c r="B7" s="994" t="s">
        <v>413</v>
      </c>
      <c r="C7" s="994"/>
      <c r="D7" s="994"/>
      <c r="E7" s="994"/>
      <c r="F7" s="7"/>
      <c r="G7" s="995" t="s">
        <v>756</v>
      </c>
      <c r="H7" s="995"/>
      <c r="I7" s="400"/>
      <c r="J7" s="400"/>
      <c r="Z7" s="401"/>
      <c r="AA7" s="402"/>
      <c r="AB7" s="357"/>
    </row>
    <row r="8" spans="1:28" ht="24" customHeight="1" x14ac:dyDescent="0.25">
      <c r="A8" s="98" t="s">
        <v>1</v>
      </c>
      <c r="B8" s="967" t="s">
        <v>1098</v>
      </c>
      <c r="C8" s="967"/>
      <c r="D8" s="967"/>
      <c r="E8" s="967"/>
      <c r="G8" s="997" t="s">
        <v>936</v>
      </c>
      <c r="H8" s="6"/>
      <c r="I8" s="6"/>
      <c r="J8" s="6"/>
      <c r="K8" s="6"/>
      <c r="L8" s="6"/>
      <c r="M8" s="6"/>
      <c r="Z8" s="1028" t="s">
        <v>611</v>
      </c>
      <c r="AA8" s="1029"/>
      <c r="AB8" s="357">
        <v>0.26819999999999999</v>
      </c>
    </row>
    <row r="9" spans="1:28" ht="24" customHeight="1" x14ac:dyDescent="0.25">
      <c r="A9" s="98" t="s">
        <v>0</v>
      </c>
      <c r="B9" s="1174" t="s">
        <v>1096</v>
      </c>
      <c r="C9" s="1175"/>
      <c r="D9" s="1175"/>
      <c r="E9" s="1176"/>
      <c r="G9" s="997"/>
      <c r="H9" s="6"/>
      <c r="I9" s="6"/>
      <c r="J9" s="6"/>
      <c r="K9" s="6"/>
      <c r="L9" s="6"/>
      <c r="M9" s="6"/>
      <c r="Z9" s="1028" t="s">
        <v>612</v>
      </c>
      <c r="AA9" s="1029"/>
      <c r="AB9" s="357">
        <v>3.1300000000000001E-2</v>
      </c>
    </row>
    <row r="10" spans="1:28" ht="30" customHeight="1" x14ac:dyDescent="0.25">
      <c r="A10" s="98" t="s">
        <v>2</v>
      </c>
      <c r="B10" s="1031" t="s">
        <v>100</v>
      </c>
      <c r="C10" s="1032"/>
      <c r="D10" s="1032"/>
      <c r="E10" s="1033"/>
      <c r="G10" s="997"/>
      <c r="H10" s="7"/>
      <c r="I10" s="7"/>
      <c r="J10" s="7"/>
      <c r="K10" s="7"/>
      <c r="L10" s="7"/>
      <c r="M10" s="7"/>
      <c r="Z10" s="1028"/>
      <c r="AA10" s="1029"/>
      <c r="AB10" s="357"/>
    </row>
    <row r="11" spans="1:28" ht="22.5" customHeight="1" x14ac:dyDescent="0.25">
      <c r="A11" s="98" t="s">
        <v>29</v>
      </c>
      <c r="B11" s="1151"/>
      <c r="C11" s="1152"/>
      <c r="D11" s="1152"/>
      <c r="E11" s="1153"/>
      <c r="G11" s="254">
        <v>1000</v>
      </c>
      <c r="H11" s="131" t="s">
        <v>548</v>
      </c>
      <c r="I11" s="6"/>
      <c r="J11" s="6"/>
      <c r="K11" s="6"/>
      <c r="L11" s="6"/>
      <c r="Z11" s="1028" t="s">
        <v>613</v>
      </c>
      <c r="AA11" s="1029"/>
      <c r="AB11" s="357">
        <v>0.26819999999999999</v>
      </c>
    </row>
    <row r="12" spans="1:28" ht="30" customHeight="1" x14ac:dyDescent="0.25">
      <c r="A12" s="98" t="s">
        <v>14</v>
      </c>
      <c r="B12" s="1148" t="s">
        <v>36</v>
      </c>
      <c r="C12" s="1149"/>
      <c r="D12" s="1149"/>
      <c r="E12" s="1150"/>
      <c r="G12" s="254"/>
      <c r="H12" s="131" t="s">
        <v>549</v>
      </c>
      <c r="I12" s="6"/>
      <c r="J12" s="6"/>
      <c r="K12" s="6"/>
      <c r="L12" s="6"/>
      <c r="Z12" s="1028" t="s">
        <v>614</v>
      </c>
      <c r="AA12" s="1029"/>
      <c r="AB12" s="357">
        <v>1.18E-2</v>
      </c>
    </row>
    <row r="13" spans="1:28" ht="30" customHeight="1" x14ac:dyDescent="0.25">
      <c r="A13" s="98" t="s">
        <v>3</v>
      </c>
      <c r="B13" s="1148"/>
      <c r="C13" s="1149"/>
      <c r="D13" s="1149"/>
      <c r="E13" s="1150"/>
      <c r="G13" s="254"/>
      <c r="H13" s="131" t="s">
        <v>550</v>
      </c>
      <c r="I13" s="6"/>
      <c r="J13" s="6"/>
      <c r="K13" s="6"/>
      <c r="L13" s="6"/>
      <c r="Q13" s="6"/>
      <c r="R13" s="6"/>
      <c r="S13" s="6"/>
      <c r="T13" s="6"/>
      <c r="U13" s="6"/>
      <c r="Z13" s="1028" t="s">
        <v>615</v>
      </c>
      <c r="AA13" s="1029"/>
      <c r="AB13" s="358">
        <f>AB15/0.55</f>
        <v>0.50363636363636366</v>
      </c>
    </row>
    <row r="14" spans="1:28" ht="30" customHeight="1" x14ac:dyDescent="0.25">
      <c r="A14" s="98" t="s">
        <v>15</v>
      </c>
      <c r="B14" s="1148" t="s">
        <v>505</v>
      </c>
      <c r="C14" s="1149"/>
      <c r="D14" s="1149"/>
      <c r="E14" s="1150"/>
      <c r="U14" s="6"/>
      <c r="Z14" s="1028" t="s">
        <v>616</v>
      </c>
      <c r="AA14" s="1029"/>
      <c r="AB14" s="357">
        <v>0.26819999999999999</v>
      </c>
    </row>
    <row r="15" spans="1:28" ht="30" customHeight="1" x14ac:dyDescent="0.25">
      <c r="A15" s="98" t="s">
        <v>4</v>
      </c>
      <c r="B15" s="1148">
        <v>2020</v>
      </c>
      <c r="C15" s="1149"/>
      <c r="D15" s="1149"/>
      <c r="E15" s="1150"/>
      <c r="F15" s="6"/>
      <c r="G15" s="255" t="s">
        <v>551</v>
      </c>
      <c r="H15" s="255" t="s">
        <v>552</v>
      </c>
      <c r="I15" s="255" t="s">
        <v>553</v>
      </c>
      <c r="J15" s="60" t="s">
        <v>182</v>
      </c>
      <c r="K15" s="60" t="s">
        <v>183</v>
      </c>
      <c r="L15" s="60" t="s">
        <v>184</v>
      </c>
      <c r="U15" s="6"/>
      <c r="Z15" s="1028" t="s">
        <v>578</v>
      </c>
      <c r="AA15" s="1029"/>
      <c r="AB15" s="357">
        <v>0.27700000000000002</v>
      </c>
    </row>
    <row r="16" spans="1:28" ht="30" customHeight="1" x14ac:dyDescent="0.25">
      <c r="A16" s="98" t="s">
        <v>5</v>
      </c>
      <c r="B16" s="1148">
        <v>2030</v>
      </c>
      <c r="C16" s="1149"/>
      <c r="D16" s="1149"/>
      <c r="E16" s="1150"/>
      <c r="F16" s="6"/>
      <c r="G16" s="252">
        <f>SUM(G11:L11)</f>
        <v>1000</v>
      </c>
      <c r="H16" s="252">
        <f>SUM(G12:L12)</f>
        <v>0</v>
      </c>
      <c r="I16" s="252">
        <f>SUM(G13:L13)</f>
        <v>0</v>
      </c>
      <c r="J16" s="62">
        <v>1</v>
      </c>
      <c r="K16" s="62">
        <v>0.34200000000000003</v>
      </c>
      <c r="L16" s="62">
        <v>0.32900000000000001</v>
      </c>
      <c r="U16" s="6"/>
      <c r="Z16" s="1028" t="s">
        <v>579</v>
      </c>
      <c r="AA16" s="1029"/>
      <c r="AB16" s="357">
        <v>0.20269999999999999</v>
      </c>
    </row>
    <row r="17" spans="1:21" ht="30" customHeight="1" x14ac:dyDescent="0.25">
      <c r="A17" s="98" t="s">
        <v>6</v>
      </c>
      <c r="B17" s="1164">
        <f>H30*G16/1000</f>
        <v>1042000</v>
      </c>
      <c r="C17" s="1165"/>
      <c r="D17" s="1165"/>
      <c r="E17" s="1166"/>
      <c r="F17" s="6"/>
      <c r="G17" s="255" t="s">
        <v>554</v>
      </c>
      <c r="H17" s="255" t="s">
        <v>554</v>
      </c>
      <c r="I17" s="255" t="s">
        <v>554</v>
      </c>
      <c r="J17" s="60" t="s">
        <v>185</v>
      </c>
      <c r="K17" s="60" t="s">
        <v>186</v>
      </c>
      <c r="L17" s="60" t="s">
        <v>150</v>
      </c>
      <c r="M17" s="60" t="s">
        <v>169</v>
      </c>
      <c r="U17" s="6"/>
    </row>
    <row r="18" spans="1:21" ht="30" customHeight="1" x14ac:dyDescent="0.25">
      <c r="A18" s="98" t="s">
        <v>7</v>
      </c>
      <c r="B18" s="1164">
        <f>B17*0.5</f>
        <v>521000</v>
      </c>
      <c r="C18" s="1165"/>
      <c r="D18" s="1165"/>
      <c r="E18" s="1166"/>
      <c r="F18" s="6"/>
      <c r="G18" s="252">
        <v>0.5</v>
      </c>
      <c r="H18" s="252">
        <v>0.8</v>
      </c>
      <c r="I18" s="252">
        <v>1</v>
      </c>
      <c r="J18" s="62">
        <f>G16*G18*G20*K16+H16*H18*H20*K16+I16*I18*I20*K16</f>
        <v>444600.00000000006</v>
      </c>
      <c r="K18" s="62">
        <f>G16*G18*G20*L16+H16*H18*H20*L16+I16*I18*I20*L16</f>
        <v>427700</v>
      </c>
      <c r="L18" s="62">
        <f>AB8</f>
        <v>0.26819999999999999</v>
      </c>
      <c r="M18" s="360">
        <f>AB13</f>
        <v>0.50363636363636366</v>
      </c>
      <c r="U18" s="6"/>
    </row>
    <row r="19" spans="1:21" ht="30" customHeight="1" x14ac:dyDescent="0.25">
      <c r="A19" s="99" t="s">
        <v>307</v>
      </c>
      <c r="B19" s="1154">
        <f>B20</f>
        <v>872300</v>
      </c>
      <c r="C19" s="1155"/>
      <c r="D19" s="1155"/>
      <c r="E19" s="1156"/>
      <c r="F19" s="6"/>
      <c r="G19" s="60" t="s">
        <v>181</v>
      </c>
      <c r="H19" s="60" t="s">
        <v>181</v>
      </c>
      <c r="I19" s="60" t="s">
        <v>181</v>
      </c>
      <c r="J19" s="6"/>
      <c r="K19" s="6"/>
      <c r="L19" s="6"/>
      <c r="M19" s="6"/>
      <c r="Q19" s="2"/>
      <c r="R19" s="2"/>
      <c r="S19" s="6"/>
    </row>
    <row r="20" spans="1:21" ht="30" customHeight="1" x14ac:dyDescent="0.25">
      <c r="A20" s="96" t="s">
        <v>306</v>
      </c>
      <c r="B20" s="1072">
        <f>G16*(K16+L16)*G20*G18+H16*H18*H20*(K16+L16)+I16*I18*I20*(K16+L16)</f>
        <v>872300</v>
      </c>
      <c r="C20" s="1073"/>
      <c r="D20" s="1073"/>
      <c r="E20" s="1074"/>
      <c r="F20" s="6"/>
      <c r="G20" s="264">
        <v>2600</v>
      </c>
      <c r="H20" s="264">
        <v>770</v>
      </c>
      <c r="I20" s="264">
        <v>50</v>
      </c>
      <c r="M20" s="6"/>
      <c r="Q20" s="2"/>
      <c r="R20" s="2"/>
      <c r="S20" s="6"/>
    </row>
    <row r="21" spans="1:21" ht="30" customHeight="1" x14ac:dyDescent="0.25">
      <c r="A21" s="98" t="s">
        <v>8</v>
      </c>
      <c r="B21" s="1120">
        <f>J18*G22+K18/10*H22</f>
        <v>47723</v>
      </c>
      <c r="C21" s="1121"/>
      <c r="D21" s="1121"/>
      <c r="E21" s="1122"/>
      <c r="F21" s="6"/>
      <c r="G21" s="61" t="s">
        <v>187</v>
      </c>
      <c r="H21" s="61" t="s">
        <v>117</v>
      </c>
      <c r="I21" s="59" t="s">
        <v>298</v>
      </c>
      <c r="M21" s="6"/>
    </row>
    <row r="22" spans="1:21" ht="30" customHeight="1" x14ac:dyDescent="0.25">
      <c r="A22" s="98" t="s">
        <v>9</v>
      </c>
      <c r="B22" s="1120">
        <f>J18/1000*I22</f>
        <v>28899.000000000004</v>
      </c>
      <c r="C22" s="1121"/>
      <c r="D22" s="1121"/>
      <c r="E22" s="1122"/>
      <c r="F22" s="6"/>
      <c r="G22" s="61">
        <v>0.04</v>
      </c>
      <c r="H22" s="61">
        <v>0.7</v>
      </c>
      <c r="I22" s="59">
        <v>65</v>
      </c>
    </row>
    <row r="23" spans="1:21" ht="30" customHeight="1" x14ac:dyDescent="0.25">
      <c r="A23" s="98" t="s">
        <v>301</v>
      </c>
      <c r="B23" s="1157">
        <f>B17/(B21+B22)</f>
        <v>13.599227375949466</v>
      </c>
      <c r="C23" s="1158"/>
      <c r="D23" s="1158"/>
      <c r="E23" s="1159"/>
      <c r="F23" s="6"/>
      <c r="G23" s="6"/>
      <c r="H23" s="6"/>
      <c r="I23" s="6"/>
    </row>
    <row r="24" spans="1:21" ht="30" customHeight="1" thickBot="1" x14ac:dyDescent="0.3">
      <c r="A24" s="98" t="s">
        <v>302</v>
      </c>
      <c r="B24" s="1167">
        <f>(B17-B18)/(B21+B22)</f>
        <v>6.7996136879747331</v>
      </c>
      <c r="C24" s="1168"/>
      <c r="D24" s="1168"/>
      <c r="E24" s="1169"/>
      <c r="F24" s="6"/>
      <c r="G24" s="1173" t="s">
        <v>43</v>
      </c>
      <c r="H24" s="1173"/>
      <c r="I24" s="1173"/>
    </row>
    <row r="25" spans="1:21" ht="30" customHeight="1" thickBot="1" x14ac:dyDescent="0.3">
      <c r="A25" s="100" t="s">
        <v>305</v>
      </c>
      <c r="B25" s="1170">
        <f>(J18/1000*M18)+(K18/1000*L18)</f>
        <v>338.62586727272731</v>
      </c>
      <c r="C25" s="1171"/>
      <c r="D25" s="1171"/>
      <c r="E25" s="1172"/>
      <c r="F25" s="6"/>
      <c r="G25" s="161" t="s">
        <v>400</v>
      </c>
      <c r="H25" s="1160">
        <v>20000</v>
      </c>
      <c r="I25" s="1161"/>
    </row>
    <row r="26" spans="1:21" ht="30" customHeight="1" thickTop="1" thickBot="1" x14ac:dyDescent="0.3">
      <c r="A26" s="101" t="s">
        <v>303</v>
      </c>
      <c r="B26" s="1058">
        <f>B25/'Objectifs CO2'!C6</f>
        <v>0.31236072681375232</v>
      </c>
      <c r="C26" s="1058"/>
      <c r="D26" s="1058"/>
      <c r="E26" s="1058"/>
      <c r="F26" s="6"/>
      <c r="G26" s="162" t="s">
        <v>401</v>
      </c>
      <c r="H26" s="1162">
        <f>1168000*0.7</f>
        <v>817600</v>
      </c>
      <c r="I26" s="1163"/>
    </row>
    <row r="27" spans="1:21" ht="30" customHeight="1" thickBot="1" x14ac:dyDescent="0.3">
      <c r="A27" s="101" t="s">
        <v>304</v>
      </c>
      <c r="B27" s="1056">
        <f>B25/'Objectifs CO2'!C4</f>
        <v>1.5618036340687615E-2</v>
      </c>
      <c r="C27" s="1057"/>
      <c r="D27" s="1057"/>
      <c r="E27" s="1057"/>
      <c r="F27" s="6"/>
      <c r="G27" s="163" t="s">
        <v>402</v>
      </c>
      <c r="H27" s="1144">
        <f>232000*0.7</f>
        <v>162400</v>
      </c>
      <c r="I27" s="1145"/>
    </row>
    <row r="28" spans="1:21" ht="30" customHeight="1" thickBot="1" x14ac:dyDescent="0.3">
      <c r="A28" s="101" t="s">
        <v>22</v>
      </c>
      <c r="B28" s="1010"/>
      <c r="C28" s="1010"/>
      <c r="D28" s="1010"/>
      <c r="E28" s="1010"/>
      <c r="F28" s="6"/>
      <c r="G28" s="163" t="s">
        <v>403</v>
      </c>
      <c r="H28" s="1146">
        <v>0</v>
      </c>
      <c r="I28" s="1147"/>
    </row>
    <row r="29" spans="1:21" ht="30" customHeight="1" thickBot="1" x14ac:dyDescent="0.3">
      <c r="A29" s="101" t="s">
        <v>257</v>
      </c>
      <c r="B29" s="999" t="s">
        <v>279</v>
      </c>
      <c r="C29" s="999"/>
      <c r="D29" s="999"/>
      <c r="E29" s="999"/>
      <c r="F29" s="6" t="s">
        <v>280</v>
      </c>
      <c r="G29" s="163" t="s">
        <v>404</v>
      </c>
      <c r="H29" s="1144">
        <f>60000*0.7</f>
        <v>42000</v>
      </c>
      <c r="I29" s="1145"/>
    </row>
    <row r="30" spans="1:21" ht="16.5" thickBot="1" x14ac:dyDescent="0.3">
      <c r="G30" s="163" t="s">
        <v>247</v>
      </c>
      <c r="H30" s="1146">
        <f>SUM(H25:I29)</f>
        <v>1042000</v>
      </c>
      <c r="I30" s="1147"/>
    </row>
    <row r="31" spans="1:21" x14ac:dyDescent="0.25">
      <c r="A31" s="603" t="s">
        <v>1065</v>
      </c>
      <c r="B31" s="1003" t="s">
        <v>675</v>
      </c>
      <c r="C31" s="1003"/>
      <c r="D31" s="1003"/>
      <c r="E31" s="56" t="s">
        <v>676</v>
      </c>
      <c r="F31" s="6"/>
      <c r="G31" s="6"/>
      <c r="H31" s="6"/>
      <c r="I31" s="6"/>
    </row>
    <row r="32" spans="1:21"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2">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26:E26"/>
    <mergeCell ref="G46:L46"/>
    <mergeCell ref="A47:A51"/>
    <mergeCell ref="B47:F47"/>
    <mergeCell ref="G47:L47"/>
    <mergeCell ref="B48:F48"/>
    <mergeCell ref="G48:L48"/>
    <mergeCell ref="B49:F49"/>
    <mergeCell ref="G49:L49"/>
    <mergeCell ref="B50:F50"/>
    <mergeCell ref="G50:L50"/>
    <mergeCell ref="B51:F51"/>
    <mergeCell ref="G51:L51"/>
    <mergeCell ref="B17:E17"/>
    <mergeCell ref="B18:E18"/>
    <mergeCell ref="B24:E24"/>
    <mergeCell ref="B25:E25"/>
    <mergeCell ref="G24:I24"/>
    <mergeCell ref="B8:E8"/>
    <mergeCell ref="B9:E9"/>
    <mergeCell ref="B10:E10"/>
    <mergeCell ref="B4:E4"/>
    <mergeCell ref="B5:E5"/>
    <mergeCell ref="B6:E6"/>
    <mergeCell ref="B7:E7"/>
    <mergeCell ref="Z5:AB5"/>
    <mergeCell ref="Z6:AA6"/>
    <mergeCell ref="Z8:AA8"/>
    <mergeCell ref="Z9:AA9"/>
    <mergeCell ref="Z10:AA10"/>
    <mergeCell ref="Z16:AA16"/>
    <mergeCell ref="Z11:AA11"/>
    <mergeCell ref="Z12:AA12"/>
    <mergeCell ref="Z13:AA13"/>
    <mergeCell ref="Z14:AA14"/>
    <mergeCell ref="Z15:AA15"/>
    <mergeCell ref="A1:E1"/>
    <mergeCell ref="B2:E2"/>
    <mergeCell ref="B31:D31"/>
    <mergeCell ref="B32:D32"/>
    <mergeCell ref="G32:I32"/>
    <mergeCell ref="B33:D33"/>
    <mergeCell ref="H33:I33"/>
    <mergeCell ref="G40:I40"/>
    <mergeCell ref="B34:D34"/>
    <mergeCell ref="H34:I34"/>
    <mergeCell ref="B35:D35"/>
    <mergeCell ref="H35:I35"/>
    <mergeCell ref="B36:D36"/>
    <mergeCell ref="B19:E19"/>
    <mergeCell ref="B20:E20"/>
    <mergeCell ref="B21:E21"/>
    <mergeCell ref="B22:E22"/>
    <mergeCell ref="B23:E23"/>
    <mergeCell ref="G6:H6"/>
    <mergeCell ref="G8:G10"/>
    <mergeCell ref="G7:H7"/>
    <mergeCell ref="H30:I30"/>
    <mergeCell ref="H25:I25"/>
    <mergeCell ref="H26:I26"/>
    <mergeCell ref="G2:H2"/>
    <mergeCell ref="B3:E3"/>
    <mergeCell ref="G3:H3"/>
    <mergeCell ref="B42:D42"/>
    <mergeCell ref="B44:D44"/>
    <mergeCell ref="B37:D37"/>
    <mergeCell ref="B38:D38"/>
    <mergeCell ref="B39:D39"/>
    <mergeCell ref="B40:D40"/>
    <mergeCell ref="B41:D41"/>
    <mergeCell ref="H27:I27"/>
    <mergeCell ref="H28:I28"/>
    <mergeCell ref="H29:I29"/>
    <mergeCell ref="G4:H4"/>
    <mergeCell ref="G5:H5"/>
    <mergeCell ref="B29:E29"/>
    <mergeCell ref="B16:E16"/>
    <mergeCell ref="B11:E11"/>
    <mergeCell ref="B12:E12"/>
    <mergeCell ref="B13:E13"/>
    <mergeCell ref="B14:E14"/>
    <mergeCell ref="B15:E15"/>
    <mergeCell ref="B28:E28"/>
    <mergeCell ref="B27:E27"/>
  </mergeCells>
  <conditionalFormatting sqref="B5">
    <cfRule type="containsText" dxfId="92" priority="1" operator="containsText" text="Terminé">
      <formula>NOT(ISERROR(SEARCH("Terminé",B5)))</formula>
    </cfRule>
    <cfRule type="containsText" dxfId="91" priority="2" operator="containsText" text="En cours">
      <formula>NOT(ISERROR(SEARCH("En cours",B5)))</formula>
    </cfRule>
    <cfRule type="containsText" dxfId="9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2"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69"/>
  <sheetViews>
    <sheetView topLeftCell="B13" zoomScaleNormal="100" workbookViewId="0">
      <selection activeCell="B16" sqref="B16:E16"/>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793</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36</v>
      </c>
      <c r="C4" s="996"/>
      <c r="D4" s="996"/>
      <c r="E4" s="996"/>
      <c r="F4" s="7"/>
      <c r="G4" s="986" t="s">
        <v>753</v>
      </c>
      <c r="H4" s="986"/>
      <c r="I4" s="6"/>
      <c r="J4" s="6"/>
    </row>
    <row r="5" spans="1:28" ht="19.5" customHeight="1" x14ac:dyDescent="0.25">
      <c r="A5" s="403" t="s">
        <v>16</v>
      </c>
      <c r="B5" s="1015" t="s">
        <v>41</v>
      </c>
      <c r="C5" s="1015"/>
      <c r="D5" s="1015"/>
      <c r="E5" s="1015"/>
      <c r="F5" s="7"/>
      <c r="G5" s="986" t="s">
        <v>754</v>
      </c>
      <c r="H5" s="986"/>
      <c r="I5" s="6"/>
      <c r="J5" s="6"/>
      <c r="Z5" s="1023" t="s">
        <v>609</v>
      </c>
      <c r="AA5" s="1024"/>
      <c r="AB5" s="1025"/>
    </row>
    <row r="6" spans="1:28" ht="19.5" customHeight="1" x14ac:dyDescent="0.25">
      <c r="A6" s="413" t="s">
        <v>474</v>
      </c>
      <c r="B6" s="993" t="s">
        <v>417</v>
      </c>
      <c r="C6" s="993"/>
      <c r="D6" s="993"/>
      <c r="E6" s="993"/>
      <c r="F6" s="7"/>
      <c r="G6" s="986" t="s">
        <v>755</v>
      </c>
      <c r="H6" s="986"/>
      <c r="I6" s="6"/>
      <c r="J6" s="6"/>
      <c r="Z6" s="1026"/>
      <c r="AA6" s="1027"/>
      <c r="AB6" s="357" t="s">
        <v>610</v>
      </c>
    </row>
    <row r="7" spans="1:28" s="6" customFormat="1" ht="19.5" customHeight="1" x14ac:dyDescent="0.25">
      <c r="A7" s="253" t="s">
        <v>475</v>
      </c>
      <c r="B7" s="994" t="s">
        <v>413</v>
      </c>
      <c r="C7" s="994"/>
      <c r="D7" s="994"/>
      <c r="E7" s="994"/>
      <c r="F7" s="7"/>
      <c r="G7" s="995" t="s">
        <v>756</v>
      </c>
      <c r="H7" s="995"/>
      <c r="I7" s="400"/>
      <c r="J7" s="400"/>
      <c r="Z7" s="401"/>
      <c r="AA7" s="402"/>
      <c r="AB7" s="357"/>
    </row>
    <row r="8" spans="1:28" ht="24" customHeight="1" x14ac:dyDescent="0.25">
      <c r="A8" s="98" t="s">
        <v>1</v>
      </c>
      <c r="B8" s="967" t="s">
        <v>1098</v>
      </c>
      <c r="C8" s="967"/>
      <c r="D8" s="967"/>
      <c r="E8" s="967"/>
      <c r="G8" s="997" t="s">
        <v>936</v>
      </c>
      <c r="H8" s="6"/>
      <c r="I8" s="6"/>
      <c r="J8" s="6"/>
      <c r="K8" s="6"/>
      <c r="L8" s="6"/>
      <c r="M8" s="6"/>
      <c r="Z8" s="1028" t="s">
        <v>611</v>
      </c>
      <c r="AA8" s="1029"/>
      <c r="AB8" s="357">
        <v>0.26819999999999999</v>
      </c>
    </row>
    <row r="9" spans="1:28" ht="24" customHeight="1" x14ac:dyDescent="0.25">
      <c r="A9" s="98" t="s">
        <v>0</v>
      </c>
      <c r="B9" s="967" t="s">
        <v>1097</v>
      </c>
      <c r="C9" s="967"/>
      <c r="D9" s="967"/>
      <c r="E9" s="967"/>
      <c r="G9" s="997"/>
      <c r="H9" s="6"/>
      <c r="I9" s="6"/>
      <c r="J9" s="6"/>
      <c r="K9" s="6"/>
      <c r="L9" s="6"/>
      <c r="M9" s="6"/>
      <c r="Z9" s="1028" t="s">
        <v>612</v>
      </c>
      <c r="AA9" s="1029"/>
      <c r="AB9" s="357">
        <v>3.1300000000000001E-2</v>
      </c>
    </row>
    <row r="10" spans="1:28" ht="15.75" x14ac:dyDescent="0.25">
      <c r="A10" s="98" t="s">
        <v>2</v>
      </c>
      <c r="B10" s="1034" t="s">
        <v>102</v>
      </c>
      <c r="C10" s="1035"/>
      <c r="D10" s="1035"/>
      <c r="E10" s="1035"/>
      <c r="G10" s="997"/>
      <c r="H10" s="7"/>
      <c r="I10" s="7"/>
      <c r="J10" s="7"/>
      <c r="K10" s="7"/>
      <c r="L10" s="7"/>
      <c r="M10" s="7"/>
      <c r="Z10" s="1028"/>
      <c r="AA10" s="1029"/>
      <c r="AB10" s="357"/>
    </row>
    <row r="11" spans="1:28" ht="15.75" x14ac:dyDescent="0.25">
      <c r="A11" s="98" t="s">
        <v>29</v>
      </c>
      <c r="B11" s="1034"/>
      <c r="C11" s="1035"/>
      <c r="D11" s="1035"/>
      <c r="E11" s="1035"/>
      <c r="G11" s="254">
        <v>50</v>
      </c>
      <c r="H11" s="131" t="s">
        <v>555</v>
      </c>
      <c r="I11" s="6"/>
      <c r="J11" s="6"/>
      <c r="K11" s="6"/>
      <c r="L11" s="6"/>
      <c r="P11" s="59" t="s">
        <v>188</v>
      </c>
      <c r="Q11" s="60" t="s">
        <v>189</v>
      </c>
      <c r="Z11" s="1028" t="s">
        <v>613</v>
      </c>
      <c r="AA11" s="1029"/>
      <c r="AB11" s="357">
        <v>0.26819999999999999</v>
      </c>
    </row>
    <row r="12" spans="1:28" ht="30" customHeight="1" x14ac:dyDescent="0.25">
      <c r="A12" s="98" t="s">
        <v>14</v>
      </c>
      <c r="B12" s="1010" t="s">
        <v>36</v>
      </c>
      <c r="C12" s="1010"/>
      <c r="D12" s="1010"/>
      <c r="E12" s="1010"/>
      <c r="G12" s="254">
        <v>50</v>
      </c>
      <c r="H12" s="131" t="s">
        <v>556</v>
      </c>
      <c r="I12" s="6"/>
      <c r="J12" s="6"/>
      <c r="K12" s="6"/>
      <c r="L12" s="6"/>
      <c r="P12" s="61">
        <v>100</v>
      </c>
      <c r="Q12" s="62">
        <v>68.900000000000006</v>
      </c>
      <c r="Z12" s="1028" t="s">
        <v>614</v>
      </c>
      <c r="AA12" s="1029"/>
      <c r="AB12" s="357">
        <v>1.18E-2</v>
      </c>
    </row>
    <row r="13" spans="1:28" ht="30" customHeight="1" x14ac:dyDescent="0.25">
      <c r="A13" s="98" t="s">
        <v>3</v>
      </c>
      <c r="B13" s="1010"/>
      <c r="C13" s="1010"/>
      <c r="D13" s="1010"/>
      <c r="E13" s="1010"/>
      <c r="G13" s="254">
        <v>20</v>
      </c>
      <c r="H13" s="131" t="s">
        <v>557</v>
      </c>
      <c r="I13" s="6"/>
      <c r="J13" s="6"/>
      <c r="K13" s="6"/>
      <c r="L13" s="6"/>
      <c r="P13" s="6"/>
      <c r="Q13" s="6"/>
      <c r="R13" s="6"/>
      <c r="S13" s="6"/>
      <c r="T13" s="6"/>
      <c r="Z13" s="1028" t="s">
        <v>615</v>
      </c>
      <c r="AA13" s="1029"/>
      <c r="AB13" s="358">
        <f>AB15/0.55</f>
        <v>0.50363636363636366</v>
      </c>
    </row>
    <row r="14" spans="1:28" ht="30" customHeight="1" x14ac:dyDescent="0.25">
      <c r="A14" s="98" t="s">
        <v>15</v>
      </c>
      <c r="B14" s="1010" t="s">
        <v>504</v>
      </c>
      <c r="C14" s="1010"/>
      <c r="D14" s="1010"/>
      <c r="E14" s="1010"/>
      <c r="P14" s="6"/>
      <c r="Q14" s="6"/>
      <c r="R14" s="6"/>
      <c r="S14" s="6"/>
      <c r="T14" s="6"/>
      <c r="Z14" s="1028" t="s">
        <v>616</v>
      </c>
      <c r="AA14" s="1029"/>
      <c r="AB14" s="357">
        <v>0.26819999999999999</v>
      </c>
    </row>
    <row r="15" spans="1:28" ht="30" customHeight="1" x14ac:dyDescent="0.25">
      <c r="A15" s="98" t="s">
        <v>4</v>
      </c>
      <c r="B15" s="1010">
        <v>2020</v>
      </c>
      <c r="C15" s="1010"/>
      <c r="D15" s="1010"/>
      <c r="E15" s="1010"/>
      <c r="F15" s="6"/>
      <c r="G15" s="255" t="s">
        <v>558</v>
      </c>
      <c r="H15" s="255" t="s">
        <v>559</v>
      </c>
      <c r="I15" s="255" t="s">
        <v>560</v>
      </c>
      <c r="J15" s="60" t="s">
        <v>182</v>
      </c>
      <c r="K15" s="60" t="s">
        <v>183</v>
      </c>
      <c r="L15" s="60" t="s">
        <v>184</v>
      </c>
      <c r="T15" s="6"/>
      <c r="Z15" s="1028" t="s">
        <v>578</v>
      </c>
      <c r="AA15" s="1029"/>
      <c r="AB15" s="357">
        <v>0.27700000000000002</v>
      </c>
    </row>
    <row r="16" spans="1:28" ht="30" customHeight="1" x14ac:dyDescent="0.25">
      <c r="A16" s="98" t="s">
        <v>5</v>
      </c>
      <c r="B16" s="1010">
        <v>2030</v>
      </c>
      <c r="C16" s="1010"/>
      <c r="D16" s="1010"/>
      <c r="E16" s="1010"/>
      <c r="F16" s="6"/>
      <c r="G16" s="252">
        <f>SUM(G11:L11)</f>
        <v>50</v>
      </c>
      <c r="H16" s="252">
        <f>SUM(G12:L12)</f>
        <v>50</v>
      </c>
      <c r="I16" s="252">
        <f>SUM(G13:L13)</f>
        <v>20</v>
      </c>
      <c r="J16" s="266">
        <v>1</v>
      </c>
      <c r="K16" s="266">
        <v>0.34200000000000003</v>
      </c>
      <c r="L16" s="266">
        <v>0.32900000000000001</v>
      </c>
      <c r="T16" s="6"/>
      <c r="Z16" s="1028" t="s">
        <v>579</v>
      </c>
      <c r="AA16" s="1029"/>
      <c r="AB16" s="357">
        <v>0.20269999999999999</v>
      </c>
    </row>
    <row r="17" spans="1:20" ht="30" customHeight="1" x14ac:dyDescent="0.25">
      <c r="A17" s="98" t="s">
        <v>6</v>
      </c>
      <c r="B17" s="1000">
        <v>2084000</v>
      </c>
      <c r="C17" s="1000"/>
      <c r="D17" s="1000"/>
      <c r="E17" s="1000"/>
      <c r="F17" s="6"/>
      <c r="G17" s="255" t="s">
        <v>554</v>
      </c>
      <c r="H17" s="255" t="s">
        <v>554</v>
      </c>
      <c r="I17" s="255" t="s">
        <v>554</v>
      </c>
      <c r="J17" s="60" t="s">
        <v>185</v>
      </c>
      <c r="K17" s="60" t="s">
        <v>186</v>
      </c>
      <c r="L17" s="60" t="s">
        <v>150</v>
      </c>
      <c r="M17" s="60" t="s">
        <v>169</v>
      </c>
      <c r="P17" s="6"/>
      <c r="Q17" s="6"/>
      <c r="R17" s="6"/>
      <c r="S17" s="6"/>
      <c r="T17" s="6"/>
    </row>
    <row r="18" spans="1:20" ht="30" customHeight="1" x14ac:dyDescent="0.25">
      <c r="A18" s="98" t="s">
        <v>7</v>
      </c>
      <c r="B18" s="1000">
        <v>625200</v>
      </c>
      <c r="C18" s="1000"/>
      <c r="D18" s="1000"/>
      <c r="E18" s="1000"/>
      <c r="F18" s="6"/>
      <c r="G18" s="252">
        <v>1</v>
      </c>
      <c r="H18" s="252">
        <v>0.3</v>
      </c>
      <c r="I18" s="252">
        <v>1</v>
      </c>
      <c r="J18" s="62">
        <f>G16*G18*G20*K16+H16*H18*H20*K16+I16*I18*I20*K16</f>
        <v>1827990</v>
      </c>
      <c r="K18" s="62">
        <f>G16*G18*G20*L16+H16*H18*H20*L16+I16*I18*I20*L16</f>
        <v>1758505</v>
      </c>
      <c r="L18" s="62">
        <f>AB8</f>
        <v>0.26819999999999999</v>
      </c>
      <c r="M18" s="360">
        <f>AB13</f>
        <v>0.50363636363636366</v>
      </c>
      <c r="S18" s="6"/>
      <c r="T18" s="6"/>
    </row>
    <row r="19" spans="1:20" ht="30" customHeight="1" x14ac:dyDescent="0.25">
      <c r="A19" s="99" t="s">
        <v>307</v>
      </c>
      <c r="B19" s="1039">
        <f>B20</f>
        <v>3586495.0000000005</v>
      </c>
      <c r="C19" s="1040"/>
      <c r="D19" s="1040"/>
      <c r="E19" s="1040"/>
      <c r="F19" s="6"/>
      <c r="G19" s="60" t="s">
        <v>561</v>
      </c>
      <c r="H19" s="60" t="s">
        <v>561</v>
      </c>
      <c r="I19" s="60" t="s">
        <v>561</v>
      </c>
      <c r="S19" s="6"/>
      <c r="T19" s="6"/>
    </row>
    <row r="20" spans="1:20" ht="30" customHeight="1" x14ac:dyDescent="0.25">
      <c r="A20" s="96" t="s">
        <v>306</v>
      </c>
      <c r="B20" s="1041">
        <f>G16*(K16+L16)*G20*G18+H16*H18*H20*(K16+L16)+I16*I18*I20*(K16+L16)</f>
        <v>3586495.0000000005</v>
      </c>
      <c r="C20" s="1042"/>
      <c r="D20" s="1042"/>
      <c r="E20" s="1042"/>
      <c r="F20" s="6"/>
      <c r="G20" s="264">
        <v>68900</v>
      </c>
      <c r="H20" s="264">
        <v>80000</v>
      </c>
      <c r="I20" s="264">
        <v>35000</v>
      </c>
    </row>
    <row r="21" spans="1:20" ht="30" customHeight="1" x14ac:dyDescent="0.25">
      <c r="A21" s="98" t="s">
        <v>8</v>
      </c>
      <c r="B21" s="1000">
        <f>J18*G22+K18/10*H22</f>
        <v>196214.95</v>
      </c>
      <c r="C21" s="1000"/>
      <c r="D21" s="1000"/>
      <c r="E21" s="1000"/>
      <c r="F21" s="6"/>
      <c r="G21" s="61" t="s">
        <v>187</v>
      </c>
      <c r="H21" s="61" t="s">
        <v>117</v>
      </c>
      <c r="I21" s="59" t="s">
        <v>298</v>
      </c>
      <c r="J21" s="6"/>
    </row>
    <row r="22" spans="1:20" ht="30" customHeight="1" x14ac:dyDescent="0.25">
      <c r="A22" s="98" t="s">
        <v>9</v>
      </c>
      <c r="B22" s="1000">
        <f>J18/1000*I22</f>
        <v>118819.35</v>
      </c>
      <c r="C22" s="1000"/>
      <c r="D22" s="1000"/>
      <c r="E22" s="1000"/>
      <c r="F22" s="6"/>
      <c r="G22" s="61">
        <v>0.04</v>
      </c>
      <c r="H22" s="61">
        <v>0.7</v>
      </c>
      <c r="I22" s="59">
        <v>65</v>
      </c>
      <c r="J22" s="6"/>
    </row>
    <row r="23" spans="1:20" ht="30" customHeight="1" x14ac:dyDescent="0.25">
      <c r="A23" s="98" t="s">
        <v>301</v>
      </c>
      <c r="B23" s="1016">
        <f>B17/(B21+B22)</f>
        <v>6.6151526992457637</v>
      </c>
      <c r="C23" s="1016"/>
      <c r="D23" s="1016"/>
      <c r="E23" s="1016"/>
      <c r="F23" s="6"/>
      <c r="G23" s="6"/>
      <c r="H23" s="6"/>
      <c r="I23" s="6"/>
      <c r="J23" s="6"/>
    </row>
    <row r="24" spans="1:20" ht="30" customHeight="1" x14ac:dyDescent="0.25">
      <c r="A24" s="98" t="s">
        <v>302</v>
      </c>
      <c r="B24" s="1017">
        <f>(B17-B18)/(B21+B22)</f>
        <v>4.6306068894720349</v>
      </c>
      <c r="C24" s="1017"/>
      <c r="D24" s="1017"/>
      <c r="E24" s="1017"/>
      <c r="F24" s="6"/>
      <c r="G24" s="6"/>
      <c r="H24" s="6"/>
      <c r="I24" s="6"/>
      <c r="J24" s="6"/>
    </row>
    <row r="25" spans="1:20" ht="30" customHeight="1" x14ac:dyDescent="0.25">
      <c r="A25" s="100" t="s">
        <v>305</v>
      </c>
      <c r="B25" s="1070">
        <f>(J18/1000*M18)+(K18/1000*L18)</f>
        <v>1392.2732773636365</v>
      </c>
      <c r="C25" s="1070"/>
      <c r="D25" s="1070"/>
      <c r="E25" s="1070"/>
      <c r="F25" s="6"/>
      <c r="G25" s="6"/>
      <c r="H25" s="6"/>
      <c r="I25" s="6"/>
      <c r="J25" s="6"/>
    </row>
    <row r="26" spans="1:20" ht="30" customHeight="1" x14ac:dyDescent="0.25">
      <c r="A26" s="101" t="s">
        <v>303</v>
      </c>
      <c r="B26" s="1058">
        <f>B25/'Objectifs CO2'!C6</f>
        <v>1.2842831421688508</v>
      </c>
      <c r="C26" s="1058"/>
      <c r="D26" s="1058"/>
      <c r="E26" s="1058"/>
      <c r="F26" s="6"/>
      <c r="G26" s="6"/>
      <c r="H26" s="6"/>
      <c r="I26" s="6"/>
      <c r="J26" s="6"/>
    </row>
    <row r="27" spans="1:20" ht="30" customHeight="1" x14ac:dyDescent="0.25">
      <c r="A27" s="101" t="s">
        <v>304</v>
      </c>
      <c r="B27" s="1056">
        <f>B25/'Objectifs CO2'!C4</f>
        <v>6.4214157108442541E-2</v>
      </c>
      <c r="C27" s="1057"/>
      <c r="D27" s="1057"/>
      <c r="E27" s="1057"/>
      <c r="F27" s="6"/>
      <c r="G27" s="6"/>
      <c r="H27" s="6"/>
      <c r="I27" s="6"/>
      <c r="J27" s="6"/>
    </row>
    <row r="28" spans="1:20" ht="30" customHeight="1" x14ac:dyDescent="0.25">
      <c r="A28" s="101" t="s">
        <v>22</v>
      </c>
      <c r="B28" s="999"/>
      <c r="C28" s="999"/>
      <c r="D28" s="999"/>
      <c r="E28" s="999"/>
      <c r="F28" s="6"/>
      <c r="G28" s="6"/>
      <c r="H28" s="6"/>
      <c r="I28" s="6"/>
      <c r="J28" s="6"/>
    </row>
    <row r="29" spans="1:20" ht="30" customHeight="1" x14ac:dyDescent="0.25">
      <c r="A29" s="101" t="s">
        <v>257</v>
      </c>
      <c r="B29" s="999" t="s">
        <v>279</v>
      </c>
      <c r="C29" s="999"/>
      <c r="D29" s="999"/>
      <c r="E29" s="999"/>
      <c r="F29" s="6" t="s">
        <v>280</v>
      </c>
    </row>
    <row r="31" spans="1:20" x14ac:dyDescent="0.25">
      <c r="A31" s="603" t="s">
        <v>1065</v>
      </c>
      <c r="B31" s="1003" t="s">
        <v>675</v>
      </c>
      <c r="C31" s="1003"/>
      <c r="D31" s="1003"/>
      <c r="E31" s="56" t="s">
        <v>676</v>
      </c>
      <c r="F31" s="6"/>
      <c r="G31" s="6"/>
      <c r="H31" s="6"/>
      <c r="I31" s="6"/>
    </row>
    <row r="32" spans="1:20"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A52:A62"/>
    <mergeCell ref="B52:F52"/>
    <mergeCell ref="G52:L52"/>
    <mergeCell ref="B53:F53"/>
    <mergeCell ref="G53:L53"/>
    <mergeCell ref="B54:F54"/>
    <mergeCell ref="G54:L54"/>
    <mergeCell ref="H35:I35"/>
    <mergeCell ref="B36:D36"/>
    <mergeCell ref="B42:D42"/>
    <mergeCell ref="B44:D44"/>
    <mergeCell ref="B37:D37"/>
    <mergeCell ref="G59:L59"/>
    <mergeCell ref="B60:F60"/>
    <mergeCell ref="G60:L60"/>
    <mergeCell ref="B61:F61"/>
    <mergeCell ref="G61:L61"/>
    <mergeCell ref="G46:L46"/>
    <mergeCell ref="B38:D38"/>
    <mergeCell ref="B39:D39"/>
    <mergeCell ref="B40:D40"/>
    <mergeCell ref="B41:D41"/>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G7:H7"/>
    <mergeCell ref="B25:E25"/>
    <mergeCell ref="B19:E19"/>
    <mergeCell ref="B20:E20"/>
    <mergeCell ref="B21:E21"/>
    <mergeCell ref="B22:E22"/>
    <mergeCell ref="B23:E23"/>
    <mergeCell ref="Z16:AA16"/>
    <mergeCell ref="Z11:AA11"/>
    <mergeCell ref="Z12:AA12"/>
    <mergeCell ref="Z13:AA13"/>
    <mergeCell ref="Z14:AA14"/>
    <mergeCell ref="Z15:AA15"/>
    <mergeCell ref="B16:E16"/>
    <mergeCell ref="B11:E11"/>
    <mergeCell ref="B12:E12"/>
    <mergeCell ref="B13:E13"/>
    <mergeCell ref="B15:E15"/>
    <mergeCell ref="B27:E27"/>
    <mergeCell ref="B17:E17"/>
    <mergeCell ref="B18:E18"/>
    <mergeCell ref="B24:E24"/>
    <mergeCell ref="B26:E26"/>
    <mergeCell ref="B33:D33"/>
    <mergeCell ref="B10:E10"/>
    <mergeCell ref="H33:I33"/>
    <mergeCell ref="G8:G10"/>
    <mergeCell ref="G40:I40"/>
    <mergeCell ref="B34:D34"/>
    <mergeCell ref="H34:I34"/>
    <mergeCell ref="B35:D35"/>
    <mergeCell ref="B8:E8"/>
    <mergeCell ref="B9:E9"/>
    <mergeCell ref="A1:E1"/>
    <mergeCell ref="B2:E2"/>
    <mergeCell ref="G2:H2"/>
    <mergeCell ref="B3:E3"/>
    <mergeCell ref="G3:H3"/>
    <mergeCell ref="B4:E4"/>
    <mergeCell ref="B5:E5"/>
    <mergeCell ref="B6:E6"/>
    <mergeCell ref="B7:E7"/>
    <mergeCell ref="G6:H6"/>
    <mergeCell ref="G4:H4"/>
    <mergeCell ref="G5:H5"/>
    <mergeCell ref="B31:D31"/>
    <mergeCell ref="B32:D32"/>
    <mergeCell ref="G32:I32"/>
    <mergeCell ref="B29:E29"/>
    <mergeCell ref="B14:E14"/>
    <mergeCell ref="B28:E28"/>
  </mergeCells>
  <conditionalFormatting sqref="B5">
    <cfRule type="containsText" dxfId="89" priority="1" operator="containsText" text="Terminé">
      <formula>NOT(ISERROR(SEARCH("Terminé",B5)))</formula>
    </cfRule>
    <cfRule type="containsText" dxfId="88" priority="2" operator="containsText" text="En cours">
      <formula>NOT(ISERROR(SEARCH("En cours",B5)))</formula>
    </cfRule>
    <cfRule type="containsText" dxfId="8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9"/>
  <sheetViews>
    <sheetView zoomScale="85" zoomScaleNormal="85" workbookViewId="0">
      <selection activeCell="B5" sqref="B5:E5"/>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902</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380</v>
      </c>
      <c r="C4" s="996"/>
      <c r="D4" s="996"/>
      <c r="E4" s="996"/>
      <c r="F4" s="7"/>
      <c r="G4" s="986" t="s">
        <v>753</v>
      </c>
      <c r="H4" s="986"/>
      <c r="I4" s="6"/>
      <c r="J4" s="6"/>
    </row>
    <row r="5" spans="1:28" ht="19.5" customHeight="1" x14ac:dyDescent="0.25">
      <c r="A5" s="403" t="s">
        <v>16</v>
      </c>
      <c r="B5" s="1015" t="s">
        <v>19</v>
      </c>
      <c r="C5" s="1015"/>
      <c r="D5" s="1015"/>
      <c r="E5" s="1015"/>
      <c r="F5" s="7"/>
      <c r="G5" s="986" t="s">
        <v>754</v>
      </c>
      <c r="H5" s="986"/>
      <c r="I5" s="6"/>
      <c r="J5" s="6"/>
      <c r="Z5" s="1023" t="s">
        <v>609</v>
      </c>
      <c r="AA5" s="1024"/>
      <c r="AB5" s="1025"/>
    </row>
    <row r="6" spans="1:28" ht="19.5" customHeight="1" x14ac:dyDescent="0.25">
      <c r="A6" s="413" t="s">
        <v>474</v>
      </c>
      <c r="B6" s="993" t="s">
        <v>417</v>
      </c>
      <c r="C6" s="993"/>
      <c r="D6" s="993"/>
      <c r="E6" s="993"/>
      <c r="F6" s="7"/>
      <c r="G6" s="986" t="s">
        <v>755</v>
      </c>
      <c r="H6" s="986"/>
      <c r="I6" s="6"/>
      <c r="J6" s="6"/>
      <c r="Z6" s="1026"/>
      <c r="AA6" s="1027"/>
      <c r="AB6" s="357" t="s">
        <v>610</v>
      </c>
    </row>
    <row r="7" spans="1:28" s="6" customFormat="1" ht="19.5" customHeight="1" x14ac:dyDescent="0.25">
      <c r="A7" s="253" t="s">
        <v>475</v>
      </c>
      <c r="B7" s="994" t="s">
        <v>413</v>
      </c>
      <c r="C7" s="994"/>
      <c r="D7" s="994"/>
      <c r="E7" s="994"/>
      <c r="F7" s="7"/>
      <c r="G7" s="995" t="s">
        <v>756</v>
      </c>
      <c r="H7" s="995"/>
      <c r="I7" s="400"/>
      <c r="J7" s="400"/>
      <c r="Z7" s="401"/>
      <c r="AA7" s="402"/>
      <c r="AB7" s="357"/>
    </row>
    <row r="8" spans="1:28" s="6" customFormat="1" ht="24" customHeight="1" x14ac:dyDescent="0.25">
      <c r="A8" s="207" t="s">
        <v>1</v>
      </c>
      <c r="B8" s="967" t="s">
        <v>1304</v>
      </c>
      <c r="C8" s="967"/>
      <c r="D8" s="967"/>
      <c r="E8" s="967"/>
      <c r="Z8" s="1028" t="s">
        <v>611</v>
      </c>
      <c r="AA8" s="1029"/>
      <c r="AB8" s="357">
        <v>0.26819999999999999</v>
      </c>
    </row>
    <row r="9" spans="1:28" s="6" customFormat="1" ht="24" customHeight="1" x14ac:dyDescent="0.25">
      <c r="A9" s="207" t="s">
        <v>0</v>
      </c>
      <c r="B9" s="967" t="s">
        <v>1303</v>
      </c>
      <c r="C9" s="967"/>
      <c r="D9" s="967"/>
      <c r="E9" s="967"/>
      <c r="Z9" s="1028" t="s">
        <v>612</v>
      </c>
      <c r="AA9" s="1029"/>
      <c r="AB9" s="357">
        <v>3.1300000000000001E-2</v>
      </c>
    </row>
    <row r="10" spans="1:28" s="6" customFormat="1" ht="222" customHeight="1" x14ac:dyDescent="0.25">
      <c r="A10" s="207" t="s">
        <v>2</v>
      </c>
      <c r="B10" s="1034" t="s">
        <v>315</v>
      </c>
      <c r="C10" s="1035"/>
      <c r="D10" s="1035"/>
      <c r="E10" s="1035"/>
      <c r="R10" s="7"/>
      <c r="Z10" s="1028"/>
      <c r="AA10" s="1029"/>
      <c r="AB10" s="357"/>
    </row>
    <row r="11" spans="1:28" s="6" customFormat="1" ht="39" customHeight="1" x14ac:dyDescent="0.25">
      <c r="A11" s="207" t="s">
        <v>29</v>
      </c>
      <c r="B11" s="1031" t="s">
        <v>500</v>
      </c>
      <c r="C11" s="1032"/>
      <c r="D11" s="1032"/>
      <c r="E11" s="1033"/>
      <c r="G11" s="431">
        <f>G16</f>
        <v>821187</v>
      </c>
      <c r="H11" s="438" t="s">
        <v>144</v>
      </c>
      <c r="I11" s="431">
        <f>M16</f>
        <v>0</v>
      </c>
      <c r="J11" s="60" t="s">
        <v>316</v>
      </c>
      <c r="Z11" s="1028" t="s">
        <v>613</v>
      </c>
      <c r="AA11" s="1029"/>
      <c r="AB11" s="357">
        <v>0.26819999999999999</v>
      </c>
    </row>
    <row r="12" spans="1:28" s="6" customFormat="1" ht="30" customHeight="1" x14ac:dyDescent="0.25">
      <c r="A12" s="207" t="s">
        <v>14</v>
      </c>
      <c r="B12" s="1010" t="s">
        <v>339</v>
      </c>
      <c r="C12" s="1010"/>
      <c r="D12" s="1010"/>
      <c r="E12" s="1010"/>
      <c r="G12" s="431">
        <f>H16</f>
        <v>277024</v>
      </c>
      <c r="H12" s="438" t="s">
        <v>145</v>
      </c>
      <c r="I12" s="431"/>
      <c r="J12" s="79"/>
      <c r="Z12" s="1028" t="s">
        <v>614</v>
      </c>
      <c r="AA12" s="1029"/>
      <c r="AB12" s="357">
        <v>1.18E-2</v>
      </c>
    </row>
    <row r="13" spans="1:28" s="6" customFormat="1" ht="30" customHeight="1" x14ac:dyDescent="0.25">
      <c r="A13" s="207" t="s">
        <v>3</v>
      </c>
      <c r="B13" s="1010"/>
      <c r="C13" s="1010"/>
      <c r="D13" s="1010"/>
      <c r="E13" s="1010"/>
      <c r="Z13" s="1028" t="s">
        <v>615</v>
      </c>
      <c r="AA13" s="1029"/>
      <c r="AB13" s="358">
        <f>AB15/0.55</f>
        <v>0.50363636363636366</v>
      </c>
    </row>
    <row r="14" spans="1:28" s="6" customFormat="1" ht="30" customHeight="1" x14ac:dyDescent="0.25">
      <c r="A14" s="207" t="s">
        <v>15</v>
      </c>
      <c r="B14" s="1010" t="s">
        <v>66</v>
      </c>
      <c r="C14" s="1010"/>
      <c r="D14" s="1010"/>
      <c r="E14" s="1010"/>
      <c r="Z14" s="1028" t="s">
        <v>616</v>
      </c>
      <c r="AA14" s="1029"/>
      <c r="AB14" s="357">
        <v>0.26819999999999999</v>
      </c>
    </row>
    <row r="15" spans="1:28" s="6" customFormat="1" ht="30" customHeight="1" x14ac:dyDescent="0.25">
      <c r="A15" s="207" t="s">
        <v>4</v>
      </c>
      <c r="B15" s="1010">
        <v>2008</v>
      </c>
      <c r="C15" s="1010"/>
      <c r="D15" s="1010"/>
      <c r="E15" s="1010"/>
      <c r="G15" s="206" t="s">
        <v>144</v>
      </c>
      <c r="H15" s="206" t="s">
        <v>145</v>
      </c>
      <c r="I15" s="206" t="s">
        <v>121</v>
      </c>
      <c r="J15" s="206" t="s">
        <v>118</v>
      </c>
      <c r="K15" s="206" t="s">
        <v>119</v>
      </c>
      <c r="L15" s="206" t="s">
        <v>143</v>
      </c>
      <c r="M15" s="60" t="s">
        <v>316</v>
      </c>
      <c r="Z15" s="1028" t="s">
        <v>578</v>
      </c>
      <c r="AA15" s="1029"/>
      <c r="AB15" s="357">
        <v>0.27700000000000002</v>
      </c>
    </row>
    <row r="16" spans="1:28" s="6" customFormat="1" ht="30" customHeight="1" x14ac:dyDescent="0.25">
      <c r="A16" s="207" t="s">
        <v>5</v>
      </c>
      <c r="B16" s="1010">
        <v>2008</v>
      </c>
      <c r="C16" s="1010"/>
      <c r="D16" s="1010"/>
      <c r="E16" s="1010"/>
      <c r="G16" s="206">
        <v>821187</v>
      </c>
      <c r="H16" s="206">
        <v>277024</v>
      </c>
      <c r="I16" s="206">
        <v>0.24</v>
      </c>
      <c r="J16" s="206">
        <v>0.26819999999999999</v>
      </c>
      <c r="K16" s="360">
        <v>0.50363636363636366</v>
      </c>
      <c r="L16" s="206">
        <v>65</v>
      </c>
      <c r="M16" s="206">
        <v>0</v>
      </c>
      <c r="Z16" s="1028" t="s">
        <v>579</v>
      </c>
      <c r="AA16" s="1029"/>
      <c r="AB16" s="357">
        <v>0.20269999999999999</v>
      </c>
    </row>
    <row r="17" spans="1:12" s="6" customFormat="1" ht="30" customHeight="1" x14ac:dyDescent="0.25">
      <c r="A17" s="207" t="s">
        <v>6</v>
      </c>
      <c r="B17" s="1086"/>
      <c r="C17" s="1086"/>
      <c r="D17" s="1086"/>
      <c r="E17" s="1086"/>
      <c r="G17" s="108" t="s">
        <v>317</v>
      </c>
    </row>
    <row r="18" spans="1:12" s="6" customFormat="1" ht="30" customHeight="1" x14ac:dyDescent="0.25">
      <c r="A18" s="207" t="s">
        <v>7</v>
      </c>
      <c r="B18" s="1086"/>
      <c r="C18" s="1086"/>
      <c r="D18" s="1086"/>
      <c r="E18" s="1086"/>
    </row>
    <row r="19" spans="1:12" s="6" customFormat="1" ht="30" customHeight="1" x14ac:dyDescent="0.25">
      <c r="A19" s="99" t="s">
        <v>307</v>
      </c>
      <c r="B19" s="1130"/>
      <c r="C19" s="1130"/>
      <c r="D19" s="1130"/>
      <c r="E19" s="1130"/>
      <c r="G19" s="2"/>
      <c r="H19" s="2"/>
    </row>
    <row r="20" spans="1:12" s="6" customFormat="1" ht="30" customHeight="1" x14ac:dyDescent="0.25">
      <c r="A20" s="96" t="s">
        <v>306</v>
      </c>
      <c r="B20" s="1126">
        <f>G16+H16+M16</f>
        <v>1098211</v>
      </c>
      <c r="C20" s="1126"/>
      <c r="D20" s="1126"/>
      <c r="E20" s="1126"/>
      <c r="G20" s="165"/>
      <c r="H20" s="2"/>
    </row>
    <row r="21" spans="1:12" s="6" customFormat="1" ht="30" customHeight="1" x14ac:dyDescent="0.25">
      <c r="A21" s="207" t="s">
        <v>8</v>
      </c>
      <c r="B21" s="1131">
        <f>H16*I16</f>
        <v>66485.759999999995</v>
      </c>
      <c r="C21" s="1131"/>
      <c r="D21" s="1131"/>
      <c r="E21" s="1131"/>
    </row>
    <row r="22" spans="1:12" s="6" customFormat="1" ht="30" customHeight="1" x14ac:dyDescent="0.25">
      <c r="A22" s="207" t="s">
        <v>9</v>
      </c>
      <c r="B22" s="1000">
        <f>H16/1000*L16</f>
        <v>18006.560000000001</v>
      </c>
      <c r="C22" s="1000"/>
      <c r="D22" s="1000"/>
      <c r="E22" s="1000"/>
    </row>
    <row r="23" spans="1:12" s="6" customFormat="1" ht="30" customHeight="1" x14ac:dyDescent="0.25">
      <c r="A23" s="207" t="s">
        <v>301</v>
      </c>
      <c r="B23" s="1016">
        <f>B17/(B21+B22)</f>
        <v>0</v>
      </c>
      <c r="C23" s="1016"/>
      <c r="D23" s="1016"/>
      <c r="E23" s="1016"/>
    </row>
    <row r="24" spans="1:12" s="6" customFormat="1" ht="30" customHeight="1" x14ac:dyDescent="0.25">
      <c r="A24" s="207" t="s">
        <v>302</v>
      </c>
      <c r="B24" s="1017">
        <f>(B17-B18)/(B21+B22)</f>
        <v>0</v>
      </c>
      <c r="C24" s="1017"/>
      <c r="D24" s="1017"/>
      <c r="E24" s="1017"/>
    </row>
    <row r="25" spans="1:12" s="6" customFormat="1" ht="30" customHeight="1" x14ac:dyDescent="0.25">
      <c r="A25" s="100" t="s">
        <v>305</v>
      </c>
      <c r="B25" s="1080">
        <f>G16/1000*J16+H16/1000*K16+M16/1000*J16</f>
        <v>359.76171339999996</v>
      </c>
      <c r="C25" s="1080"/>
      <c r="D25" s="1080"/>
      <c r="E25" s="1080"/>
    </row>
    <row r="26" spans="1:12" s="6" customFormat="1" ht="30" customHeight="1" x14ac:dyDescent="0.25">
      <c r="A26" s="101" t="s">
        <v>303</v>
      </c>
      <c r="B26" s="1071">
        <f>B25/'Objectifs CO2'!C10</f>
        <v>0.11061906481278774</v>
      </c>
      <c r="C26" s="1071"/>
      <c r="D26" s="1071"/>
      <c r="E26" s="1071"/>
    </row>
    <row r="27" spans="1:12" s="6" customFormat="1" ht="30" customHeight="1" x14ac:dyDescent="0.25">
      <c r="A27" s="101" t="s">
        <v>304</v>
      </c>
      <c r="B27" s="1056">
        <f>B25/'[3]Objectifs CO2'!C4</f>
        <v>3.7695745440718208E-2</v>
      </c>
      <c r="C27" s="1057"/>
      <c r="D27" s="1057"/>
      <c r="E27" s="1057"/>
    </row>
    <row r="28" spans="1:12" s="6" customFormat="1" ht="30" customHeight="1" x14ac:dyDescent="0.25">
      <c r="A28" s="101" t="s">
        <v>22</v>
      </c>
      <c r="B28" s="999"/>
      <c r="C28" s="999"/>
      <c r="D28" s="999"/>
      <c r="E28" s="999"/>
    </row>
    <row r="29" spans="1:12" s="6" customFormat="1" ht="30" customHeight="1" x14ac:dyDescent="0.25">
      <c r="A29" s="101" t="s">
        <v>257</v>
      </c>
      <c r="B29" s="999"/>
      <c r="C29" s="999"/>
      <c r="D29" s="999"/>
      <c r="E29" s="999"/>
    </row>
    <row r="30" spans="1:12" x14ac:dyDescent="0.25">
      <c r="K30" s="6"/>
      <c r="L30" s="6"/>
    </row>
    <row r="31" spans="1:12" x14ac:dyDescent="0.25">
      <c r="A31" s="603" t="s">
        <v>1065</v>
      </c>
      <c r="B31" s="1003" t="s">
        <v>675</v>
      </c>
      <c r="C31" s="1003"/>
      <c r="D31" s="1003"/>
      <c r="E31" s="56" t="s">
        <v>676</v>
      </c>
      <c r="F31" s="6"/>
      <c r="G31" s="6"/>
      <c r="H31" s="6"/>
      <c r="I31" s="6"/>
      <c r="K31" s="6"/>
      <c r="L31" s="6"/>
    </row>
    <row r="32" spans="1:12" x14ac:dyDescent="0.25">
      <c r="A32" s="377"/>
      <c r="B32" s="992" t="s">
        <v>677</v>
      </c>
      <c r="C32" s="992"/>
      <c r="D32" s="992"/>
      <c r="E32" s="374"/>
      <c r="F32" s="6"/>
      <c r="G32" s="1004" t="s">
        <v>676</v>
      </c>
      <c r="H32" s="1004"/>
      <c r="I32" s="1004"/>
      <c r="K32" s="6"/>
      <c r="L32" s="6"/>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6:H6"/>
    <mergeCell ref="B9:E9"/>
    <mergeCell ref="B16:E16"/>
    <mergeCell ref="B17:E17"/>
    <mergeCell ref="G7:H7"/>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A1:E1"/>
    <mergeCell ref="B2:E2"/>
    <mergeCell ref="B31:D31"/>
    <mergeCell ref="B32:D32"/>
    <mergeCell ref="G32:I32"/>
    <mergeCell ref="B33:D33"/>
    <mergeCell ref="H33:I33"/>
    <mergeCell ref="G40:I40"/>
    <mergeCell ref="B34:D34"/>
    <mergeCell ref="H34:I34"/>
    <mergeCell ref="B35:D35"/>
    <mergeCell ref="H35:I35"/>
    <mergeCell ref="B36:D36"/>
    <mergeCell ref="B24:E24"/>
    <mergeCell ref="B25:E25"/>
    <mergeCell ref="B29:E29"/>
    <mergeCell ref="B10:E10"/>
    <mergeCell ref="B26:E26"/>
    <mergeCell ref="B27:E27"/>
    <mergeCell ref="B28:E28"/>
    <mergeCell ref="B21:E21"/>
    <mergeCell ref="B22:E22"/>
    <mergeCell ref="B23:E23"/>
    <mergeCell ref="B11:E11"/>
    <mergeCell ref="G2:H2"/>
    <mergeCell ref="B3:E3"/>
    <mergeCell ref="G3:H3"/>
    <mergeCell ref="B42:D42"/>
    <mergeCell ref="B44:D44"/>
    <mergeCell ref="B37:D37"/>
    <mergeCell ref="B38:D38"/>
    <mergeCell ref="B39:D39"/>
    <mergeCell ref="B40:D40"/>
    <mergeCell ref="B41:D41"/>
    <mergeCell ref="B12:E12"/>
    <mergeCell ref="B13:E13"/>
    <mergeCell ref="B14:E14"/>
    <mergeCell ref="B20:E20"/>
    <mergeCell ref="B15:E15"/>
    <mergeCell ref="G4:H4"/>
    <mergeCell ref="G5:H5"/>
    <mergeCell ref="B18:E18"/>
    <mergeCell ref="B19:E19"/>
    <mergeCell ref="B4:E4"/>
    <mergeCell ref="B5:E5"/>
    <mergeCell ref="B6:E6"/>
    <mergeCell ref="B7:E7"/>
    <mergeCell ref="B8:E8"/>
  </mergeCells>
  <conditionalFormatting sqref="B5">
    <cfRule type="containsText" dxfId="86" priority="1" operator="containsText" text="Terminé">
      <formula>NOT(ISERROR(SEARCH("Terminé",B5)))</formula>
    </cfRule>
    <cfRule type="containsText" dxfId="85" priority="2" operator="containsText" text="En cours">
      <formula>NOT(ISERROR(SEARCH("En cours",B5)))</formula>
    </cfRule>
    <cfRule type="containsText" dxfId="8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topLeftCell="E6" workbookViewId="0">
      <selection activeCell="B5" sqref="B5:E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903</v>
      </c>
      <c r="C2" s="1068"/>
      <c r="D2" s="1068"/>
      <c r="E2" s="1068"/>
      <c r="F2" s="7"/>
      <c r="G2" s="986" t="s">
        <v>751</v>
      </c>
      <c r="H2" s="986"/>
    </row>
    <row r="3" spans="1:28" ht="19.5" customHeight="1" x14ac:dyDescent="0.25">
      <c r="A3" s="541" t="s">
        <v>743</v>
      </c>
      <c r="B3" s="987" t="s">
        <v>747</v>
      </c>
      <c r="C3" s="987"/>
      <c r="D3" s="987"/>
      <c r="E3" s="987"/>
      <c r="F3" s="7"/>
      <c r="G3" s="986" t="s">
        <v>752</v>
      </c>
      <c r="H3" s="986"/>
    </row>
    <row r="4" spans="1:28" ht="19.5" customHeight="1" x14ac:dyDescent="0.25">
      <c r="A4" s="542" t="s">
        <v>292</v>
      </c>
      <c r="B4" s="996" t="s">
        <v>38</v>
      </c>
      <c r="C4" s="996"/>
      <c r="D4" s="996"/>
      <c r="E4" s="996"/>
      <c r="F4" s="7"/>
      <c r="G4" s="986" t="s">
        <v>753</v>
      </c>
      <c r="H4" s="986"/>
    </row>
    <row r="5" spans="1:28" ht="19.5" customHeight="1" x14ac:dyDescent="0.25">
      <c r="A5" s="542" t="s">
        <v>16</v>
      </c>
      <c r="B5" s="1015" t="s">
        <v>19</v>
      </c>
      <c r="C5" s="1015"/>
      <c r="D5" s="1015"/>
      <c r="E5" s="1015"/>
      <c r="F5" s="7"/>
      <c r="G5" s="986" t="s">
        <v>754</v>
      </c>
      <c r="H5" s="986"/>
      <c r="Z5" s="1023" t="s">
        <v>609</v>
      </c>
      <c r="AA5" s="1024"/>
      <c r="AB5" s="1025"/>
    </row>
    <row r="6" spans="1:28" ht="19.5" customHeight="1" x14ac:dyDescent="0.25">
      <c r="A6" s="413" t="s">
        <v>474</v>
      </c>
      <c r="B6" s="993" t="s">
        <v>414</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545"/>
      <c r="J7" s="545"/>
      <c r="Z7" s="543"/>
      <c r="AA7" s="544"/>
      <c r="AB7" s="357"/>
    </row>
    <row r="8" spans="1:28" ht="24" customHeight="1" x14ac:dyDescent="0.25">
      <c r="A8" s="550" t="s">
        <v>1</v>
      </c>
      <c r="B8" s="967" t="s">
        <v>944</v>
      </c>
      <c r="C8" s="967"/>
      <c r="D8" s="967"/>
      <c r="E8" s="967"/>
      <c r="G8" s="997" t="s">
        <v>936</v>
      </c>
      <c r="Z8" s="1028" t="s">
        <v>611</v>
      </c>
      <c r="AA8" s="1029"/>
      <c r="AB8" s="357">
        <v>0.26819999999999999</v>
      </c>
    </row>
    <row r="9" spans="1:28" ht="24" customHeight="1" x14ac:dyDescent="0.25">
      <c r="A9" s="550" t="s">
        <v>0</v>
      </c>
      <c r="B9" s="967" t="s">
        <v>945</v>
      </c>
      <c r="C9" s="967"/>
      <c r="D9" s="967"/>
      <c r="E9" s="967"/>
      <c r="G9" s="997"/>
      <c r="Z9" s="1028" t="s">
        <v>612</v>
      </c>
      <c r="AA9" s="1029"/>
      <c r="AB9" s="357">
        <v>3.1300000000000001E-2</v>
      </c>
    </row>
    <row r="10" spans="1:28" ht="15.75" x14ac:dyDescent="0.25">
      <c r="A10" s="550" t="s">
        <v>2</v>
      </c>
      <c r="B10" s="1034" t="s">
        <v>946</v>
      </c>
      <c r="C10" s="1035"/>
      <c r="D10" s="1035"/>
      <c r="E10" s="1035"/>
      <c r="G10" s="997"/>
      <c r="M10" s="7"/>
      <c r="Z10" s="1028"/>
      <c r="AA10" s="1029"/>
      <c r="AB10" s="357"/>
    </row>
    <row r="11" spans="1:28" ht="15.75" x14ac:dyDescent="0.25">
      <c r="A11" s="550" t="s">
        <v>29</v>
      </c>
      <c r="B11" s="1035"/>
      <c r="C11" s="1035"/>
      <c r="D11" s="1035"/>
      <c r="E11" s="1035"/>
      <c r="G11" s="254">
        <v>450</v>
      </c>
      <c r="H11" s="131" t="s">
        <v>947</v>
      </c>
      <c r="Z11" s="1028" t="s">
        <v>613</v>
      </c>
      <c r="AA11" s="1029"/>
      <c r="AB11" s="357">
        <v>0.26819999999999999</v>
      </c>
    </row>
    <row r="12" spans="1:28" ht="30" customHeight="1" x14ac:dyDescent="0.25">
      <c r="A12" s="550" t="s">
        <v>14</v>
      </c>
      <c r="B12" s="1010" t="s">
        <v>38</v>
      </c>
      <c r="C12" s="1010"/>
      <c r="D12" s="1010"/>
      <c r="E12" s="1010"/>
      <c r="Z12" s="1028" t="s">
        <v>614</v>
      </c>
      <c r="AA12" s="1029"/>
      <c r="AB12" s="357">
        <v>1.18E-2</v>
      </c>
    </row>
    <row r="13" spans="1:28" ht="30" customHeight="1" x14ac:dyDescent="0.25">
      <c r="A13" s="550" t="s">
        <v>3</v>
      </c>
      <c r="B13" s="1010"/>
      <c r="C13" s="1010"/>
      <c r="D13" s="1010"/>
      <c r="E13" s="1010"/>
      <c r="G13" s="60" t="s">
        <v>948</v>
      </c>
      <c r="H13" s="60" t="s">
        <v>949</v>
      </c>
      <c r="I13" s="60" t="s">
        <v>950</v>
      </c>
      <c r="J13" s="60" t="s">
        <v>183</v>
      </c>
      <c r="K13" s="60" t="s">
        <v>184</v>
      </c>
      <c r="L13" s="60" t="s">
        <v>185</v>
      </c>
      <c r="M13" s="60" t="s">
        <v>186</v>
      </c>
      <c r="N13" s="60" t="s">
        <v>150</v>
      </c>
      <c r="O13" s="60" t="s">
        <v>169</v>
      </c>
      <c r="P13" s="60" t="s">
        <v>912</v>
      </c>
      <c r="Z13" s="1028" t="s">
        <v>615</v>
      </c>
      <c r="AA13" s="1029"/>
      <c r="AB13" s="358">
        <f>AB15/0.55</f>
        <v>0.50363636363636366</v>
      </c>
    </row>
    <row r="14" spans="1:28" ht="30" customHeight="1" x14ac:dyDescent="0.25">
      <c r="A14" s="550" t="s">
        <v>15</v>
      </c>
      <c r="B14" s="1010" t="s">
        <v>951</v>
      </c>
      <c r="C14" s="1010"/>
      <c r="D14" s="1010"/>
      <c r="E14" s="1010"/>
      <c r="G14" s="60">
        <f>G11</f>
        <v>450</v>
      </c>
      <c r="H14" s="60">
        <v>8322</v>
      </c>
      <c r="I14" s="60">
        <v>1</v>
      </c>
      <c r="J14" s="60">
        <v>0.35</v>
      </c>
      <c r="K14" s="60">
        <v>0.55000000000000004</v>
      </c>
      <c r="L14" s="60">
        <f>G14*H14*J14</f>
        <v>1310715</v>
      </c>
      <c r="M14" s="60">
        <f>G14*I14*H14*K14</f>
        <v>2059695.0000000002</v>
      </c>
      <c r="N14" s="60">
        <f>AB8</f>
        <v>0.26819999999999999</v>
      </c>
      <c r="O14" s="359">
        <f>AB13</f>
        <v>0.50363636363636366</v>
      </c>
      <c r="P14" s="253">
        <f>AB16</f>
        <v>0.20269999999999999</v>
      </c>
      <c r="Z14" s="1028" t="s">
        <v>616</v>
      </c>
      <c r="AA14" s="1029"/>
      <c r="AB14" s="357">
        <v>0.26819999999999999</v>
      </c>
    </row>
    <row r="15" spans="1:28" ht="30" customHeight="1" x14ac:dyDescent="0.25">
      <c r="A15" s="550" t="s">
        <v>4</v>
      </c>
      <c r="B15" s="1010">
        <v>2017</v>
      </c>
      <c r="C15" s="1010"/>
      <c r="D15" s="1010"/>
      <c r="E15" s="1010"/>
      <c r="G15" s="54"/>
      <c r="H15" s="54"/>
      <c r="I15" s="54"/>
      <c r="J15" s="255" t="s">
        <v>481</v>
      </c>
      <c r="K15" s="255" t="s">
        <v>952</v>
      </c>
      <c r="L15" s="255" t="s">
        <v>482</v>
      </c>
      <c r="M15" s="547" t="s">
        <v>26</v>
      </c>
      <c r="N15" s="54"/>
      <c r="O15" s="54"/>
      <c r="Z15" s="1028" t="s">
        <v>578</v>
      </c>
      <c r="AA15" s="1029"/>
      <c r="AB15" s="357">
        <v>0.27700000000000002</v>
      </c>
    </row>
    <row r="16" spans="1:28" ht="30" customHeight="1" x14ac:dyDescent="0.25">
      <c r="A16" s="550" t="s">
        <v>5</v>
      </c>
      <c r="B16" s="1010">
        <v>2017</v>
      </c>
      <c r="C16" s="1010"/>
      <c r="D16" s="1010"/>
      <c r="E16" s="1010"/>
      <c r="G16" s="54"/>
      <c r="H16" s="54"/>
      <c r="I16" s="54"/>
      <c r="J16" s="255">
        <v>0.18</v>
      </c>
      <c r="K16" s="255">
        <v>0.55000000000000004</v>
      </c>
      <c r="L16" s="255">
        <v>0.7</v>
      </c>
      <c r="M16" s="547">
        <v>65</v>
      </c>
      <c r="N16" s="54"/>
      <c r="O16" s="54"/>
      <c r="Z16" s="1028" t="s">
        <v>579</v>
      </c>
      <c r="AA16" s="1029"/>
      <c r="AB16" s="357">
        <v>0.20269999999999999</v>
      </c>
    </row>
    <row r="17" spans="1:15" ht="30" customHeight="1" x14ac:dyDescent="0.25">
      <c r="A17" s="550" t="s">
        <v>6</v>
      </c>
      <c r="B17" s="1000">
        <v>300000</v>
      </c>
      <c r="C17" s="1000"/>
      <c r="D17" s="1000"/>
      <c r="E17" s="1000"/>
      <c r="G17" s="54"/>
      <c r="H17" s="54"/>
      <c r="I17" s="54"/>
      <c r="J17" s="54"/>
      <c r="K17" s="54"/>
      <c r="L17" s="54"/>
      <c r="M17" s="54"/>
      <c r="N17" s="54"/>
      <c r="O17" s="54"/>
    </row>
    <row r="18" spans="1:15" ht="30" customHeight="1" x14ac:dyDescent="0.25">
      <c r="A18" s="550" t="s">
        <v>7</v>
      </c>
      <c r="B18" s="1000">
        <f>B17*0.3</f>
        <v>90000</v>
      </c>
      <c r="C18" s="1000"/>
      <c r="D18" s="1000"/>
      <c r="E18" s="1000"/>
    </row>
    <row r="19" spans="1:15" ht="30" customHeight="1" x14ac:dyDescent="0.25">
      <c r="A19" s="99" t="s">
        <v>307</v>
      </c>
      <c r="B19" s="1039">
        <f>L14/0.55-L14</f>
        <v>1072403.1818181816</v>
      </c>
      <c r="C19" s="1040"/>
      <c r="D19" s="1040"/>
      <c r="E19" s="1040"/>
      <c r="G19" s="2"/>
      <c r="H19" s="2"/>
    </row>
    <row r="20" spans="1:15" ht="30" customHeight="1" x14ac:dyDescent="0.25">
      <c r="A20" s="96" t="s">
        <v>306</v>
      </c>
      <c r="B20" s="1041">
        <v>0</v>
      </c>
      <c r="C20" s="1042"/>
      <c r="D20" s="1042"/>
      <c r="E20" s="1042"/>
    </row>
    <row r="21" spans="1:15" ht="30" customHeight="1" x14ac:dyDescent="0.25">
      <c r="A21" s="550" t="s">
        <v>8</v>
      </c>
      <c r="B21" s="1000">
        <f>L14*J16</f>
        <v>235928.69999999998</v>
      </c>
      <c r="C21" s="1000"/>
      <c r="D21" s="1000"/>
      <c r="E21" s="1000"/>
    </row>
    <row r="22" spans="1:15" ht="30" customHeight="1" x14ac:dyDescent="0.25">
      <c r="A22" s="550" t="s">
        <v>9</v>
      </c>
      <c r="B22" s="1000">
        <f>B20/1000*M16</f>
        <v>0</v>
      </c>
      <c r="C22" s="1000"/>
      <c r="D22" s="1000"/>
      <c r="E22" s="1000"/>
    </row>
    <row r="23" spans="1:15" ht="30" customHeight="1" x14ac:dyDescent="0.25">
      <c r="A23" s="550" t="s">
        <v>301</v>
      </c>
      <c r="B23" s="1016">
        <f>B17/(B21+B22)</f>
        <v>1.2715706058652467</v>
      </c>
      <c r="C23" s="1016"/>
      <c r="D23" s="1016"/>
      <c r="E23" s="1016"/>
    </row>
    <row r="24" spans="1:15" ht="30" customHeight="1" x14ac:dyDescent="0.25">
      <c r="A24" s="550" t="s">
        <v>302</v>
      </c>
      <c r="B24" s="1017">
        <f>(B17-B18)/(B21+B22)</f>
        <v>0.89009942410567267</v>
      </c>
      <c r="C24" s="1017"/>
      <c r="D24" s="1017"/>
      <c r="E24" s="1017"/>
    </row>
    <row r="25" spans="1:15" ht="30" customHeight="1" x14ac:dyDescent="0.25">
      <c r="A25" s="100" t="s">
        <v>305</v>
      </c>
      <c r="B25" s="1070">
        <f>(L14/1000*O14+M14/1000*N14)-M14/1000*P14</f>
        <v>795.03375886363642</v>
      </c>
      <c r="C25" s="1070"/>
      <c r="D25" s="1070"/>
      <c r="E25" s="1070"/>
    </row>
    <row r="26" spans="1:15" ht="30" customHeight="1" x14ac:dyDescent="0.25">
      <c r="A26" s="101" t="s">
        <v>303</v>
      </c>
      <c r="B26" s="1058">
        <f>B25/'[4]Objectifs CO2'!C6</f>
        <v>0.73336784564099922</v>
      </c>
      <c r="C26" s="1058"/>
      <c r="D26" s="1058"/>
      <c r="E26" s="1058"/>
    </row>
    <row r="27" spans="1:15" ht="30" customHeight="1" x14ac:dyDescent="0.25">
      <c r="A27" s="101" t="s">
        <v>304</v>
      </c>
      <c r="B27" s="1056">
        <f>B25/'[4]Objectifs CO2'!C4</f>
        <v>3.6668392282049961E-2</v>
      </c>
      <c r="C27" s="1057"/>
      <c r="D27" s="1057"/>
      <c r="E27" s="1057"/>
    </row>
    <row r="28" spans="1:15" ht="30" customHeight="1" x14ac:dyDescent="0.25">
      <c r="A28" s="101" t="s">
        <v>22</v>
      </c>
      <c r="B28" s="999"/>
      <c r="C28" s="999"/>
      <c r="D28" s="999"/>
      <c r="E28" s="999"/>
    </row>
    <row r="29" spans="1:15" ht="30" customHeight="1" x14ac:dyDescent="0.25">
      <c r="A29" s="101" t="s">
        <v>257</v>
      </c>
      <c r="B29" s="999"/>
      <c r="C29" s="999"/>
      <c r="D29" s="999"/>
      <c r="E29" s="999"/>
    </row>
    <row r="31" spans="1:15" x14ac:dyDescent="0.25">
      <c r="A31" s="603" t="s">
        <v>1065</v>
      </c>
      <c r="B31" s="1003" t="s">
        <v>675</v>
      </c>
      <c r="C31" s="1003"/>
      <c r="D31" s="1003"/>
      <c r="E31" s="539"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46"/>
      <c r="E43" s="94" t="s">
        <v>730</v>
      </c>
    </row>
    <row r="44" spans="1:12" x14ac:dyDescent="0.25">
      <c r="A44" s="546"/>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1:D41"/>
    <mergeCell ref="B42:D42"/>
    <mergeCell ref="B44:D44"/>
    <mergeCell ref="B36:D36"/>
    <mergeCell ref="B37:D37"/>
    <mergeCell ref="B38:D38"/>
    <mergeCell ref="B39:D39"/>
    <mergeCell ref="B40:D40"/>
    <mergeCell ref="G40:I40"/>
    <mergeCell ref="B33:D33"/>
    <mergeCell ref="H33:I33"/>
    <mergeCell ref="B34:D34"/>
    <mergeCell ref="H34:I34"/>
    <mergeCell ref="B35:D35"/>
    <mergeCell ref="H35:I35"/>
    <mergeCell ref="G32:I32"/>
    <mergeCell ref="B21:E21"/>
    <mergeCell ref="B22:E22"/>
    <mergeCell ref="B23:E23"/>
    <mergeCell ref="B24:E24"/>
    <mergeCell ref="B25:E25"/>
    <mergeCell ref="B26:E26"/>
    <mergeCell ref="B27:E27"/>
    <mergeCell ref="B28:E28"/>
    <mergeCell ref="B29:E29"/>
    <mergeCell ref="B31:D31"/>
    <mergeCell ref="B32:D32"/>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7:E7"/>
    <mergeCell ref="G7:H7"/>
    <mergeCell ref="B8:E8"/>
    <mergeCell ref="Z8:AA8"/>
    <mergeCell ref="B9:E9"/>
    <mergeCell ref="Z9:AA9"/>
    <mergeCell ref="G8:G10"/>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83" priority="1" operator="containsText" text="Terminé">
      <formula>NOT(ISERROR(SEARCH("Terminé",B5)))</formula>
    </cfRule>
    <cfRule type="containsText" dxfId="82" priority="2" operator="containsText" text="En cours">
      <formula>NOT(ISERROR(SEARCH("En cours",B5)))</formula>
    </cfRule>
    <cfRule type="containsText" dxfId="8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'[4]Objectifs CO2'!#REF!</xm:f>
          </x14:formula1>
          <xm:sqref>B6</xm:sqref>
        </x14:dataValidation>
        <x14:dataValidation type="list" allowBlank="1" showInputMessage="1" showErrorMessage="1">
          <x14:formula1>
            <xm:f>'[4]Objectifs CO2'!#REF!</xm:f>
          </x14:formula1>
          <xm:sqref>B7</xm:sqref>
        </x14:dataValidation>
        <x14:dataValidation type="list" allowBlank="1" showInputMessage="1" showErrorMessage="1">
          <x14:formula1>
            <xm:f>'[4]Objectifs CO2'!#REF!</xm:f>
          </x14:formula1>
          <xm:sqref>B4</xm:sqref>
        </x14:dataValidation>
        <x14:dataValidation type="list" allowBlank="1" showInputMessage="1" showErrorMessage="1">
          <x14:formula1>
            <xm:f>'[4]Objectifs CO2'!#REF!</xm:f>
          </x14:formula1>
          <xm:sqref>B3</xm:sqref>
        </x14:dataValidation>
        <x14:dataValidation type="list" allowBlank="1" showInputMessage="1" showErrorMessage="1">
          <x14:formula1>
            <xm:f>'Objectifs CO2'!$P$4:$P$8</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U111"/>
  <sheetViews>
    <sheetView topLeftCell="A2" workbookViewId="0">
      <selection activeCell="B111" sqref="B4:B111"/>
    </sheetView>
  </sheetViews>
  <sheetFormatPr baseColWidth="10" defaultColWidth="10.5703125" defaultRowHeight="15" x14ac:dyDescent="0.25"/>
  <cols>
    <col min="1" max="1" width="10.5703125" style="6"/>
    <col min="2" max="2" width="9.28515625" style="6" customWidth="1"/>
    <col min="3" max="14" width="7.28515625" style="6" customWidth="1"/>
    <col min="15" max="16" width="7.28515625" style="212" customWidth="1"/>
    <col min="17" max="18" width="4" style="6" customWidth="1"/>
    <col min="19" max="19" width="75.85546875" style="6" customWidth="1"/>
    <col min="20" max="20" width="5.140625" style="6" customWidth="1"/>
    <col min="21" max="21" width="94" style="380" customWidth="1"/>
    <col min="22" max="257" width="10.5703125" style="6"/>
    <col min="258" max="258" width="9.28515625" style="6" customWidth="1"/>
    <col min="259" max="272" width="7.28515625" style="6" customWidth="1"/>
    <col min="273" max="274" width="4" style="6" customWidth="1"/>
    <col min="275" max="275" width="75.85546875" style="6" customWidth="1"/>
    <col min="276" max="276" width="5.140625" style="6" customWidth="1"/>
    <col min="277" max="513" width="10.5703125" style="6"/>
    <col min="514" max="514" width="9.28515625" style="6" customWidth="1"/>
    <col min="515" max="528" width="7.28515625" style="6" customWidth="1"/>
    <col min="529" max="530" width="4" style="6" customWidth="1"/>
    <col min="531" max="531" width="75.85546875" style="6" customWidth="1"/>
    <col min="532" max="532" width="5.140625" style="6" customWidth="1"/>
    <col min="533" max="769" width="10.5703125" style="6"/>
    <col min="770" max="770" width="9.28515625" style="6" customWidth="1"/>
    <col min="771" max="784" width="7.28515625" style="6" customWidth="1"/>
    <col min="785" max="786" width="4" style="6" customWidth="1"/>
    <col min="787" max="787" width="75.85546875" style="6" customWidth="1"/>
    <col min="788" max="788" width="5.140625" style="6" customWidth="1"/>
    <col min="789" max="1025" width="10.5703125" style="6"/>
    <col min="1026" max="1026" width="9.28515625" style="6" customWidth="1"/>
    <col min="1027" max="1040" width="7.28515625" style="6" customWidth="1"/>
    <col min="1041" max="1042" width="4" style="6" customWidth="1"/>
    <col min="1043" max="1043" width="75.85546875" style="6" customWidth="1"/>
    <col min="1044" max="1044" width="5.140625" style="6" customWidth="1"/>
    <col min="1045" max="1281" width="10.5703125" style="6"/>
    <col min="1282" max="1282" width="9.28515625" style="6" customWidth="1"/>
    <col min="1283" max="1296" width="7.28515625" style="6" customWidth="1"/>
    <col min="1297" max="1298" width="4" style="6" customWidth="1"/>
    <col min="1299" max="1299" width="75.85546875" style="6" customWidth="1"/>
    <col min="1300" max="1300" width="5.140625" style="6" customWidth="1"/>
    <col min="1301" max="1537" width="10.5703125" style="6"/>
    <col min="1538" max="1538" width="9.28515625" style="6" customWidth="1"/>
    <col min="1539" max="1552" width="7.28515625" style="6" customWidth="1"/>
    <col min="1553" max="1554" width="4" style="6" customWidth="1"/>
    <col min="1555" max="1555" width="75.85546875" style="6" customWidth="1"/>
    <col min="1556" max="1556" width="5.140625" style="6" customWidth="1"/>
    <col min="1557" max="1793" width="10.5703125" style="6"/>
    <col min="1794" max="1794" width="9.28515625" style="6" customWidth="1"/>
    <col min="1795" max="1808" width="7.28515625" style="6" customWidth="1"/>
    <col min="1809" max="1810" width="4" style="6" customWidth="1"/>
    <col min="1811" max="1811" width="75.85546875" style="6" customWidth="1"/>
    <col min="1812" max="1812" width="5.140625" style="6" customWidth="1"/>
    <col min="1813" max="2049" width="10.5703125" style="6"/>
    <col min="2050" max="2050" width="9.28515625" style="6" customWidth="1"/>
    <col min="2051" max="2064" width="7.28515625" style="6" customWidth="1"/>
    <col min="2065" max="2066" width="4" style="6" customWidth="1"/>
    <col min="2067" max="2067" width="75.85546875" style="6" customWidth="1"/>
    <col min="2068" max="2068" width="5.140625" style="6" customWidth="1"/>
    <col min="2069" max="2305" width="10.5703125" style="6"/>
    <col min="2306" max="2306" width="9.28515625" style="6" customWidth="1"/>
    <col min="2307" max="2320" width="7.28515625" style="6" customWidth="1"/>
    <col min="2321" max="2322" width="4" style="6" customWidth="1"/>
    <col min="2323" max="2323" width="75.85546875" style="6" customWidth="1"/>
    <col min="2324" max="2324" width="5.140625" style="6" customWidth="1"/>
    <col min="2325" max="2561" width="10.5703125" style="6"/>
    <col min="2562" max="2562" width="9.28515625" style="6" customWidth="1"/>
    <col min="2563" max="2576" width="7.28515625" style="6" customWidth="1"/>
    <col min="2577" max="2578" width="4" style="6" customWidth="1"/>
    <col min="2579" max="2579" width="75.85546875" style="6" customWidth="1"/>
    <col min="2580" max="2580" width="5.140625" style="6" customWidth="1"/>
    <col min="2581" max="2817" width="10.5703125" style="6"/>
    <col min="2818" max="2818" width="9.28515625" style="6" customWidth="1"/>
    <col min="2819" max="2832" width="7.28515625" style="6" customWidth="1"/>
    <col min="2833" max="2834" width="4" style="6" customWidth="1"/>
    <col min="2835" max="2835" width="75.85546875" style="6" customWidth="1"/>
    <col min="2836" max="2836" width="5.140625" style="6" customWidth="1"/>
    <col min="2837" max="3073" width="10.5703125" style="6"/>
    <col min="3074" max="3074" width="9.28515625" style="6" customWidth="1"/>
    <col min="3075" max="3088" width="7.28515625" style="6" customWidth="1"/>
    <col min="3089" max="3090" width="4" style="6" customWidth="1"/>
    <col min="3091" max="3091" width="75.85546875" style="6" customWidth="1"/>
    <col min="3092" max="3092" width="5.140625" style="6" customWidth="1"/>
    <col min="3093" max="3329" width="10.5703125" style="6"/>
    <col min="3330" max="3330" width="9.28515625" style="6" customWidth="1"/>
    <col min="3331" max="3344" width="7.28515625" style="6" customWidth="1"/>
    <col min="3345" max="3346" width="4" style="6" customWidth="1"/>
    <col min="3347" max="3347" width="75.85546875" style="6" customWidth="1"/>
    <col min="3348" max="3348" width="5.140625" style="6" customWidth="1"/>
    <col min="3349" max="3585" width="10.5703125" style="6"/>
    <col min="3586" max="3586" width="9.28515625" style="6" customWidth="1"/>
    <col min="3587" max="3600" width="7.28515625" style="6" customWidth="1"/>
    <col min="3601" max="3602" width="4" style="6" customWidth="1"/>
    <col min="3603" max="3603" width="75.85546875" style="6" customWidth="1"/>
    <col min="3604" max="3604" width="5.140625" style="6" customWidth="1"/>
    <col min="3605" max="3841" width="10.5703125" style="6"/>
    <col min="3842" max="3842" width="9.28515625" style="6" customWidth="1"/>
    <col min="3843" max="3856" width="7.28515625" style="6" customWidth="1"/>
    <col min="3857" max="3858" width="4" style="6" customWidth="1"/>
    <col min="3859" max="3859" width="75.85546875" style="6" customWidth="1"/>
    <col min="3860" max="3860" width="5.140625" style="6" customWidth="1"/>
    <col min="3861" max="4097" width="10.5703125" style="6"/>
    <col min="4098" max="4098" width="9.28515625" style="6" customWidth="1"/>
    <col min="4099" max="4112" width="7.28515625" style="6" customWidth="1"/>
    <col min="4113" max="4114" width="4" style="6" customWidth="1"/>
    <col min="4115" max="4115" width="75.85546875" style="6" customWidth="1"/>
    <col min="4116" max="4116" width="5.140625" style="6" customWidth="1"/>
    <col min="4117" max="4353" width="10.5703125" style="6"/>
    <col min="4354" max="4354" width="9.28515625" style="6" customWidth="1"/>
    <col min="4355" max="4368" width="7.28515625" style="6" customWidth="1"/>
    <col min="4369" max="4370" width="4" style="6" customWidth="1"/>
    <col min="4371" max="4371" width="75.85546875" style="6" customWidth="1"/>
    <col min="4372" max="4372" width="5.140625" style="6" customWidth="1"/>
    <col min="4373" max="4609" width="10.5703125" style="6"/>
    <col min="4610" max="4610" width="9.28515625" style="6" customWidth="1"/>
    <col min="4611" max="4624" width="7.28515625" style="6" customWidth="1"/>
    <col min="4625" max="4626" width="4" style="6" customWidth="1"/>
    <col min="4627" max="4627" width="75.85546875" style="6" customWidth="1"/>
    <col min="4628" max="4628" width="5.140625" style="6" customWidth="1"/>
    <col min="4629" max="4865" width="10.5703125" style="6"/>
    <col min="4866" max="4866" width="9.28515625" style="6" customWidth="1"/>
    <col min="4867" max="4880" width="7.28515625" style="6" customWidth="1"/>
    <col min="4881" max="4882" width="4" style="6" customWidth="1"/>
    <col min="4883" max="4883" width="75.85546875" style="6" customWidth="1"/>
    <col min="4884" max="4884" width="5.140625" style="6" customWidth="1"/>
    <col min="4885" max="5121" width="10.5703125" style="6"/>
    <col min="5122" max="5122" width="9.28515625" style="6" customWidth="1"/>
    <col min="5123" max="5136" width="7.28515625" style="6" customWidth="1"/>
    <col min="5137" max="5138" width="4" style="6" customWidth="1"/>
    <col min="5139" max="5139" width="75.85546875" style="6" customWidth="1"/>
    <col min="5140" max="5140" width="5.140625" style="6" customWidth="1"/>
    <col min="5141" max="5377" width="10.5703125" style="6"/>
    <col min="5378" max="5378" width="9.28515625" style="6" customWidth="1"/>
    <col min="5379" max="5392" width="7.28515625" style="6" customWidth="1"/>
    <col min="5393" max="5394" width="4" style="6" customWidth="1"/>
    <col min="5395" max="5395" width="75.85546875" style="6" customWidth="1"/>
    <col min="5396" max="5396" width="5.140625" style="6" customWidth="1"/>
    <col min="5397" max="5633" width="10.5703125" style="6"/>
    <col min="5634" max="5634" width="9.28515625" style="6" customWidth="1"/>
    <col min="5635" max="5648" width="7.28515625" style="6" customWidth="1"/>
    <col min="5649" max="5650" width="4" style="6" customWidth="1"/>
    <col min="5651" max="5651" width="75.85546875" style="6" customWidth="1"/>
    <col min="5652" max="5652" width="5.140625" style="6" customWidth="1"/>
    <col min="5653" max="5889" width="10.5703125" style="6"/>
    <col min="5890" max="5890" width="9.28515625" style="6" customWidth="1"/>
    <col min="5891" max="5904" width="7.28515625" style="6" customWidth="1"/>
    <col min="5905" max="5906" width="4" style="6" customWidth="1"/>
    <col min="5907" max="5907" width="75.85546875" style="6" customWidth="1"/>
    <col min="5908" max="5908" width="5.140625" style="6" customWidth="1"/>
    <col min="5909" max="6145" width="10.5703125" style="6"/>
    <col min="6146" max="6146" width="9.28515625" style="6" customWidth="1"/>
    <col min="6147" max="6160" width="7.28515625" style="6" customWidth="1"/>
    <col min="6161" max="6162" width="4" style="6" customWidth="1"/>
    <col min="6163" max="6163" width="75.85546875" style="6" customWidth="1"/>
    <col min="6164" max="6164" width="5.140625" style="6" customWidth="1"/>
    <col min="6165" max="6401" width="10.5703125" style="6"/>
    <col min="6402" max="6402" width="9.28515625" style="6" customWidth="1"/>
    <col min="6403" max="6416" width="7.28515625" style="6" customWidth="1"/>
    <col min="6417" max="6418" width="4" style="6" customWidth="1"/>
    <col min="6419" max="6419" width="75.85546875" style="6" customWidth="1"/>
    <col min="6420" max="6420" width="5.140625" style="6" customWidth="1"/>
    <col min="6421" max="6657" width="10.5703125" style="6"/>
    <col min="6658" max="6658" width="9.28515625" style="6" customWidth="1"/>
    <col min="6659" max="6672" width="7.28515625" style="6" customWidth="1"/>
    <col min="6673" max="6674" width="4" style="6" customWidth="1"/>
    <col min="6675" max="6675" width="75.85546875" style="6" customWidth="1"/>
    <col min="6676" max="6676" width="5.140625" style="6" customWidth="1"/>
    <col min="6677" max="6913" width="10.5703125" style="6"/>
    <col min="6914" max="6914" width="9.28515625" style="6" customWidth="1"/>
    <col min="6915" max="6928" width="7.28515625" style="6" customWidth="1"/>
    <col min="6929" max="6930" width="4" style="6" customWidth="1"/>
    <col min="6931" max="6931" width="75.85546875" style="6" customWidth="1"/>
    <col min="6932" max="6932" width="5.140625" style="6" customWidth="1"/>
    <col min="6933" max="7169" width="10.5703125" style="6"/>
    <col min="7170" max="7170" width="9.28515625" style="6" customWidth="1"/>
    <col min="7171" max="7184" width="7.28515625" style="6" customWidth="1"/>
    <col min="7185" max="7186" width="4" style="6" customWidth="1"/>
    <col min="7187" max="7187" width="75.85546875" style="6" customWidth="1"/>
    <col min="7188" max="7188" width="5.140625" style="6" customWidth="1"/>
    <col min="7189" max="7425" width="10.5703125" style="6"/>
    <col min="7426" max="7426" width="9.28515625" style="6" customWidth="1"/>
    <col min="7427" max="7440" width="7.28515625" style="6" customWidth="1"/>
    <col min="7441" max="7442" width="4" style="6" customWidth="1"/>
    <col min="7443" max="7443" width="75.85546875" style="6" customWidth="1"/>
    <col min="7444" max="7444" width="5.140625" style="6" customWidth="1"/>
    <col min="7445" max="7681" width="10.5703125" style="6"/>
    <col min="7682" max="7682" width="9.28515625" style="6" customWidth="1"/>
    <col min="7683" max="7696" width="7.28515625" style="6" customWidth="1"/>
    <col min="7697" max="7698" width="4" style="6" customWidth="1"/>
    <col min="7699" max="7699" width="75.85546875" style="6" customWidth="1"/>
    <col min="7700" max="7700" width="5.140625" style="6" customWidth="1"/>
    <col min="7701" max="7937" width="10.5703125" style="6"/>
    <col min="7938" max="7938" width="9.28515625" style="6" customWidth="1"/>
    <col min="7939" max="7952" width="7.28515625" style="6" customWidth="1"/>
    <col min="7953" max="7954" width="4" style="6" customWidth="1"/>
    <col min="7955" max="7955" width="75.85546875" style="6" customWidth="1"/>
    <col min="7956" max="7956" width="5.140625" style="6" customWidth="1"/>
    <col min="7957" max="8193" width="10.5703125" style="6"/>
    <col min="8194" max="8194" width="9.28515625" style="6" customWidth="1"/>
    <col min="8195" max="8208" width="7.28515625" style="6" customWidth="1"/>
    <col min="8209" max="8210" width="4" style="6" customWidth="1"/>
    <col min="8211" max="8211" width="75.85546875" style="6" customWidth="1"/>
    <col min="8212" max="8212" width="5.140625" style="6" customWidth="1"/>
    <col min="8213" max="8449" width="10.5703125" style="6"/>
    <col min="8450" max="8450" width="9.28515625" style="6" customWidth="1"/>
    <col min="8451" max="8464" width="7.28515625" style="6" customWidth="1"/>
    <col min="8465" max="8466" width="4" style="6" customWidth="1"/>
    <col min="8467" max="8467" width="75.85546875" style="6" customWidth="1"/>
    <col min="8468" max="8468" width="5.140625" style="6" customWidth="1"/>
    <col min="8469" max="8705" width="10.5703125" style="6"/>
    <col min="8706" max="8706" width="9.28515625" style="6" customWidth="1"/>
    <col min="8707" max="8720" width="7.28515625" style="6" customWidth="1"/>
    <col min="8721" max="8722" width="4" style="6" customWidth="1"/>
    <col min="8723" max="8723" width="75.85546875" style="6" customWidth="1"/>
    <col min="8724" max="8724" width="5.140625" style="6" customWidth="1"/>
    <col min="8725" max="8961" width="10.5703125" style="6"/>
    <col min="8962" max="8962" width="9.28515625" style="6" customWidth="1"/>
    <col min="8963" max="8976" width="7.28515625" style="6" customWidth="1"/>
    <col min="8977" max="8978" width="4" style="6" customWidth="1"/>
    <col min="8979" max="8979" width="75.85546875" style="6" customWidth="1"/>
    <col min="8980" max="8980" width="5.140625" style="6" customWidth="1"/>
    <col min="8981" max="9217" width="10.5703125" style="6"/>
    <col min="9218" max="9218" width="9.28515625" style="6" customWidth="1"/>
    <col min="9219" max="9232" width="7.28515625" style="6" customWidth="1"/>
    <col min="9233" max="9234" width="4" style="6" customWidth="1"/>
    <col min="9235" max="9235" width="75.85546875" style="6" customWidth="1"/>
    <col min="9236" max="9236" width="5.140625" style="6" customWidth="1"/>
    <col min="9237" max="9473" width="10.5703125" style="6"/>
    <col min="9474" max="9474" width="9.28515625" style="6" customWidth="1"/>
    <col min="9475" max="9488" width="7.28515625" style="6" customWidth="1"/>
    <col min="9489" max="9490" width="4" style="6" customWidth="1"/>
    <col min="9491" max="9491" width="75.85546875" style="6" customWidth="1"/>
    <col min="9492" max="9492" width="5.140625" style="6" customWidth="1"/>
    <col min="9493" max="9729" width="10.5703125" style="6"/>
    <col min="9730" max="9730" width="9.28515625" style="6" customWidth="1"/>
    <col min="9731" max="9744" width="7.28515625" style="6" customWidth="1"/>
    <col min="9745" max="9746" width="4" style="6" customWidth="1"/>
    <col min="9747" max="9747" width="75.85546875" style="6" customWidth="1"/>
    <col min="9748" max="9748" width="5.140625" style="6" customWidth="1"/>
    <col min="9749" max="9985" width="10.5703125" style="6"/>
    <col min="9986" max="9986" width="9.28515625" style="6" customWidth="1"/>
    <col min="9987" max="10000" width="7.28515625" style="6" customWidth="1"/>
    <col min="10001" max="10002" width="4" style="6" customWidth="1"/>
    <col min="10003" max="10003" width="75.85546875" style="6" customWidth="1"/>
    <col min="10004" max="10004" width="5.140625" style="6" customWidth="1"/>
    <col min="10005" max="10241" width="10.5703125" style="6"/>
    <col min="10242" max="10242" width="9.28515625" style="6" customWidth="1"/>
    <col min="10243" max="10256" width="7.28515625" style="6" customWidth="1"/>
    <col min="10257" max="10258" width="4" style="6" customWidth="1"/>
    <col min="10259" max="10259" width="75.85546875" style="6" customWidth="1"/>
    <col min="10260" max="10260" width="5.140625" style="6" customWidth="1"/>
    <col min="10261" max="10497" width="10.5703125" style="6"/>
    <col min="10498" max="10498" width="9.28515625" style="6" customWidth="1"/>
    <col min="10499" max="10512" width="7.28515625" style="6" customWidth="1"/>
    <col min="10513" max="10514" width="4" style="6" customWidth="1"/>
    <col min="10515" max="10515" width="75.85546875" style="6" customWidth="1"/>
    <col min="10516" max="10516" width="5.140625" style="6" customWidth="1"/>
    <col min="10517" max="10753" width="10.5703125" style="6"/>
    <col min="10754" max="10754" width="9.28515625" style="6" customWidth="1"/>
    <col min="10755" max="10768" width="7.28515625" style="6" customWidth="1"/>
    <col min="10769" max="10770" width="4" style="6" customWidth="1"/>
    <col min="10771" max="10771" width="75.85546875" style="6" customWidth="1"/>
    <col min="10772" max="10772" width="5.140625" style="6" customWidth="1"/>
    <col min="10773" max="11009" width="10.5703125" style="6"/>
    <col min="11010" max="11010" width="9.28515625" style="6" customWidth="1"/>
    <col min="11011" max="11024" width="7.28515625" style="6" customWidth="1"/>
    <col min="11025" max="11026" width="4" style="6" customWidth="1"/>
    <col min="11027" max="11027" width="75.85546875" style="6" customWidth="1"/>
    <col min="11028" max="11028" width="5.140625" style="6" customWidth="1"/>
    <col min="11029" max="11265" width="10.5703125" style="6"/>
    <col min="11266" max="11266" width="9.28515625" style="6" customWidth="1"/>
    <col min="11267" max="11280" width="7.28515625" style="6" customWidth="1"/>
    <col min="11281" max="11282" width="4" style="6" customWidth="1"/>
    <col min="11283" max="11283" width="75.85546875" style="6" customWidth="1"/>
    <col min="11284" max="11284" width="5.140625" style="6" customWidth="1"/>
    <col min="11285" max="11521" width="10.5703125" style="6"/>
    <col min="11522" max="11522" width="9.28515625" style="6" customWidth="1"/>
    <col min="11523" max="11536" width="7.28515625" style="6" customWidth="1"/>
    <col min="11537" max="11538" width="4" style="6" customWidth="1"/>
    <col min="11539" max="11539" width="75.85546875" style="6" customWidth="1"/>
    <col min="11540" max="11540" width="5.140625" style="6" customWidth="1"/>
    <col min="11541" max="11777" width="10.5703125" style="6"/>
    <col min="11778" max="11778" width="9.28515625" style="6" customWidth="1"/>
    <col min="11779" max="11792" width="7.28515625" style="6" customWidth="1"/>
    <col min="11793" max="11794" width="4" style="6" customWidth="1"/>
    <col min="11795" max="11795" width="75.85546875" style="6" customWidth="1"/>
    <col min="11796" max="11796" width="5.140625" style="6" customWidth="1"/>
    <col min="11797" max="12033" width="10.5703125" style="6"/>
    <col min="12034" max="12034" width="9.28515625" style="6" customWidth="1"/>
    <col min="12035" max="12048" width="7.28515625" style="6" customWidth="1"/>
    <col min="12049" max="12050" width="4" style="6" customWidth="1"/>
    <col min="12051" max="12051" width="75.85546875" style="6" customWidth="1"/>
    <col min="12052" max="12052" width="5.140625" style="6" customWidth="1"/>
    <col min="12053" max="12289" width="10.5703125" style="6"/>
    <col min="12290" max="12290" width="9.28515625" style="6" customWidth="1"/>
    <col min="12291" max="12304" width="7.28515625" style="6" customWidth="1"/>
    <col min="12305" max="12306" width="4" style="6" customWidth="1"/>
    <col min="12307" max="12307" width="75.85546875" style="6" customWidth="1"/>
    <col min="12308" max="12308" width="5.140625" style="6" customWidth="1"/>
    <col min="12309" max="12545" width="10.5703125" style="6"/>
    <col min="12546" max="12546" width="9.28515625" style="6" customWidth="1"/>
    <col min="12547" max="12560" width="7.28515625" style="6" customWidth="1"/>
    <col min="12561" max="12562" width="4" style="6" customWidth="1"/>
    <col min="12563" max="12563" width="75.85546875" style="6" customWidth="1"/>
    <col min="12564" max="12564" width="5.140625" style="6" customWidth="1"/>
    <col min="12565" max="12801" width="10.5703125" style="6"/>
    <col min="12802" max="12802" width="9.28515625" style="6" customWidth="1"/>
    <col min="12803" max="12816" width="7.28515625" style="6" customWidth="1"/>
    <col min="12817" max="12818" width="4" style="6" customWidth="1"/>
    <col min="12819" max="12819" width="75.85546875" style="6" customWidth="1"/>
    <col min="12820" max="12820" width="5.140625" style="6" customWidth="1"/>
    <col min="12821" max="13057" width="10.5703125" style="6"/>
    <col min="13058" max="13058" width="9.28515625" style="6" customWidth="1"/>
    <col min="13059" max="13072" width="7.28515625" style="6" customWidth="1"/>
    <col min="13073" max="13074" width="4" style="6" customWidth="1"/>
    <col min="13075" max="13075" width="75.85546875" style="6" customWidth="1"/>
    <col min="13076" max="13076" width="5.140625" style="6" customWidth="1"/>
    <col min="13077" max="13313" width="10.5703125" style="6"/>
    <col min="13314" max="13314" width="9.28515625" style="6" customWidth="1"/>
    <col min="13315" max="13328" width="7.28515625" style="6" customWidth="1"/>
    <col min="13329" max="13330" width="4" style="6" customWidth="1"/>
    <col min="13331" max="13331" width="75.85546875" style="6" customWidth="1"/>
    <col min="13332" max="13332" width="5.140625" style="6" customWidth="1"/>
    <col min="13333" max="13569" width="10.5703125" style="6"/>
    <col min="13570" max="13570" width="9.28515625" style="6" customWidth="1"/>
    <col min="13571" max="13584" width="7.28515625" style="6" customWidth="1"/>
    <col min="13585" max="13586" width="4" style="6" customWidth="1"/>
    <col min="13587" max="13587" width="75.85546875" style="6" customWidth="1"/>
    <col min="13588" max="13588" width="5.140625" style="6" customWidth="1"/>
    <col min="13589" max="13825" width="10.5703125" style="6"/>
    <col min="13826" max="13826" width="9.28515625" style="6" customWidth="1"/>
    <col min="13827" max="13840" width="7.28515625" style="6" customWidth="1"/>
    <col min="13841" max="13842" width="4" style="6" customWidth="1"/>
    <col min="13843" max="13843" width="75.85546875" style="6" customWidth="1"/>
    <col min="13844" max="13844" width="5.140625" style="6" customWidth="1"/>
    <col min="13845" max="14081" width="10.5703125" style="6"/>
    <col min="14082" max="14082" width="9.28515625" style="6" customWidth="1"/>
    <col min="14083" max="14096" width="7.28515625" style="6" customWidth="1"/>
    <col min="14097" max="14098" width="4" style="6" customWidth="1"/>
    <col min="14099" max="14099" width="75.85546875" style="6" customWidth="1"/>
    <col min="14100" max="14100" width="5.140625" style="6" customWidth="1"/>
    <col min="14101" max="14337" width="10.5703125" style="6"/>
    <col min="14338" max="14338" width="9.28515625" style="6" customWidth="1"/>
    <col min="14339" max="14352" width="7.28515625" style="6" customWidth="1"/>
    <col min="14353" max="14354" width="4" style="6" customWidth="1"/>
    <col min="14355" max="14355" width="75.85546875" style="6" customWidth="1"/>
    <col min="14356" max="14356" width="5.140625" style="6" customWidth="1"/>
    <col min="14357" max="14593" width="10.5703125" style="6"/>
    <col min="14594" max="14594" width="9.28515625" style="6" customWidth="1"/>
    <col min="14595" max="14608" width="7.28515625" style="6" customWidth="1"/>
    <col min="14609" max="14610" width="4" style="6" customWidth="1"/>
    <col min="14611" max="14611" width="75.85546875" style="6" customWidth="1"/>
    <col min="14612" max="14612" width="5.140625" style="6" customWidth="1"/>
    <col min="14613" max="14849" width="10.5703125" style="6"/>
    <col min="14850" max="14850" width="9.28515625" style="6" customWidth="1"/>
    <col min="14851" max="14864" width="7.28515625" style="6" customWidth="1"/>
    <col min="14865" max="14866" width="4" style="6" customWidth="1"/>
    <col min="14867" max="14867" width="75.85546875" style="6" customWidth="1"/>
    <col min="14868" max="14868" width="5.140625" style="6" customWidth="1"/>
    <col min="14869" max="15105" width="10.5703125" style="6"/>
    <col min="15106" max="15106" width="9.28515625" style="6" customWidth="1"/>
    <col min="15107" max="15120" width="7.28515625" style="6" customWidth="1"/>
    <col min="15121" max="15122" width="4" style="6" customWidth="1"/>
    <col min="15123" max="15123" width="75.85546875" style="6" customWidth="1"/>
    <col min="15124" max="15124" width="5.140625" style="6" customWidth="1"/>
    <col min="15125" max="15361" width="10.5703125" style="6"/>
    <col min="15362" max="15362" width="9.28515625" style="6" customWidth="1"/>
    <col min="15363" max="15376" width="7.28515625" style="6" customWidth="1"/>
    <col min="15377" max="15378" width="4" style="6" customWidth="1"/>
    <col min="15379" max="15379" width="75.85546875" style="6" customWidth="1"/>
    <col min="15380" max="15380" width="5.140625" style="6" customWidth="1"/>
    <col min="15381" max="15617" width="10.5703125" style="6"/>
    <col min="15618" max="15618" width="9.28515625" style="6" customWidth="1"/>
    <col min="15619" max="15632" width="7.28515625" style="6" customWidth="1"/>
    <col min="15633" max="15634" width="4" style="6" customWidth="1"/>
    <col min="15635" max="15635" width="75.85546875" style="6" customWidth="1"/>
    <col min="15636" max="15636" width="5.140625" style="6" customWidth="1"/>
    <col min="15637" max="15873" width="10.5703125" style="6"/>
    <col min="15874" max="15874" width="9.28515625" style="6" customWidth="1"/>
    <col min="15875" max="15888" width="7.28515625" style="6" customWidth="1"/>
    <col min="15889" max="15890" width="4" style="6" customWidth="1"/>
    <col min="15891" max="15891" width="75.85546875" style="6" customWidth="1"/>
    <col min="15892" max="15892" width="5.140625" style="6" customWidth="1"/>
    <col min="15893" max="16129" width="10.5703125" style="6"/>
    <col min="16130" max="16130" width="9.28515625" style="6" customWidth="1"/>
    <col min="16131" max="16144" width="7.28515625" style="6" customWidth="1"/>
    <col min="16145" max="16146" width="4" style="6" customWidth="1"/>
    <col min="16147" max="16147" width="75.85546875" style="6" customWidth="1"/>
    <col min="16148" max="16148" width="5.140625" style="6" customWidth="1"/>
    <col min="16149" max="16384" width="10.5703125" style="6"/>
  </cols>
  <sheetData>
    <row r="1" spans="2:21" x14ac:dyDescent="0.25">
      <c r="C1" s="985" t="s">
        <v>699</v>
      </c>
      <c r="D1" s="985"/>
      <c r="E1" s="985"/>
      <c r="F1" s="985"/>
      <c r="G1" s="985"/>
      <c r="H1" s="985"/>
      <c r="I1" s="985"/>
      <c r="J1" s="985"/>
      <c r="K1" s="985"/>
      <c r="L1" s="985"/>
      <c r="M1" s="985"/>
      <c r="N1" s="985"/>
      <c r="O1" s="379"/>
    </row>
    <row r="2" spans="2:21" ht="128.25" customHeight="1" x14ac:dyDescent="0.25">
      <c r="B2" s="381" t="s">
        <v>700</v>
      </c>
      <c r="C2" s="382"/>
      <c r="D2" s="382"/>
      <c r="E2" s="382"/>
      <c r="F2" s="382"/>
      <c r="G2" s="382"/>
      <c r="H2" s="382"/>
      <c r="I2" s="382"/>
      <c r="J2" s="382"/>
      <c r="K2" s="382"/>
      <c r="L2" s="382"/>
      <c r="M2" s="382"/>
      <c r="N2" s="382"/>
      <c r="O2" s="383" t="s">
        <v>247</v>
      </c>
      <c r="P2" s="383" t="s">
        <v>701</v>
      </c>
    </row>
    <row r="4" spans="2:21" x14ac:dyDescent="0.25">
      <c r="B4" s="370" t="s">
        <v>122</v>
      </c>
      <c r="C4" s="384">
        <f>'ADO-1'!$E$42</f>
        <v>15</v>
      </c>
      <c r="D4" s="384"/>
      <c r="E4" s="384"/>
      <c r="F4" s="384"/>
      <c r="G4" s="384"/>
      <c r="H4" s="384"/>
      <c r="I4" s="384"/>
      <c r="J4" s="384"/>
      <c r="K4" s="384"/>
      <c r="L4" s="384"/>
      <c r="M4" s="384"/>
      <c r="N4" s="384"/>
      <c r="O4" s="385">
        <f t="shared" ref="O4:O45" si="0">SUM(C4:N4)</f>
        <v>15</v>
      </c>
      <c r="P4" s="385">
        <f t="shared" ref="P4:P45" si="1">AVERAGE(C4:N4)</f>
        <v>15</v>
      </c>
      <c r="Q4" s="2"/>
      <c r="R4" s="2"/>
      <c r="S4" s="133" t="str">
        <f>'ADO-20'!$B$9</f>
        <v>Cellule Energie et Développement Durable</v>
      </c>
      <c r="U4" s="386"/>
    </row>
    <row r="5" spans="2:21" x14ac:dyDescent="0.25">
      <c r="B5" s="370" t="s">
        <v>123</v>
      </c>
      <c r="C5" s="384">
        <f>'ADO-2'!$E$42</f>
        <v>0</v>
      </c>
      <c r="D5" s="384"/>
      <c r="E5" s="384"/>
      <c r="F5" s="384"/>
      <c r="G5" s="384"/>
      <c r="H5" s="384"/>
      <c r="I5" s="384"/>
      <c r="J5" s="384"/>
      <c r="K5" s="384"/>
      <c r="L5" s="384"/>
      <c r="M5" s="384"/>
      <c r="N5" s="384"/>
      <c r="O5" s="385">
        <f t="shared" si="0"/>
        <v>0</v>
      </c>
      <c r="P5" s="385">
        <f t="shared" si="1"/>
        <v>0</v>
      </c>
      <c r="Q5" s="2"/>
      <c r="R5" s="2"/>
      <c r="S5" s="133" t="str">
        <f>'ADO-1'!$B$9</f>
        <v>Information des citoyens</v>
      </c>
      <c r="U5" s="386"/>
    </row>
    <row r="6" spans="2:21" x14ac:dyDescent="0.25">
      <c r="B6" s="370" t="s">
        <v>78</v>
      </c>
      <c r="C6" s="384">
        <f>'ADO-3'!$E$42</f>
        <v>0</v>
      </c>
      <c r="D6" s="384"/>
      <c r="E6" s="384"/>
      <c r="F6" s="384"/>
      <c r="G6" s="384"/>
      <c r="H6" s="384"/>
      <c r="I6" s="384"/>
      <c r="J6" s="384"/>
      <c r="K6" s="384"/>
      <c r="L6" s="384"/>
      <c r="M6" s="384"/>
      <c r="N6" s="384"/>
      <c r="O6" s="385">
        <f t="shared" si="0"/>
        <v>0</v>
      </c>
      <c r="P6" s="385">
        <f t="shared" si="1"/>
        <v>0</v>
      </c>
      <c r="S6" s="133" t="str">
        <f>'ADO-21'!$B$9</f>
        <v>Comité de pilotage</v>
      </c>
      <c r="U6" s="386" t="s">
        <v>702</v>
      </c>
    </row>
    <row r="7" spans="2:21" x14ac:dyDescent="0.25">
      <c r="B7" s="370" t="s">
        <v>126</v>
      </c>
      <c r="C7" s="384">
        <f>'ADO-4'!$E$42</f>
        <v>0</v>
      </c>
      <c r="D7" s="384"/>
      <c r="E7" s="384"/>
      <c r="F7" s="384"/>
      <c r="G7" s="384"/>
      <c r="H7" s="384"/>
      <c r="I7" s="384"/>
      <c r="J7" s="384"/>
      <c r="K7" s="384"/>
      <c r="L7" s="384"/>
      <c r="M7" s="384"/>
      <c r="N7" s="384"/>
      <c r="O7" s="385">
        <f t="shared" si="0"/>
        <v>0</v>
      </c>
      <c r="P7" s="385">
        <f t="shared" si="1"/>
        <v>0</v>
      </c>
      <c r="S7" s="133" t="str">
        <f>'ADO-2'!$B$9</f>
        <v>Enjeux du réchauffement climatique</v>
      </c>
      <c r="U7" s="386"/>
    </row>
    <row r="8" spans="2:21" x14ac:dyDescent="0.25">
      <c r="B8" s="370" t="s">
        <v>132</v>
      </c>
      <c r="C8" s="384">
        <f>'ADO-5'!$E$42</f>
        <v>0</v>
      </c>
      <c r="D8" s="384"/>
      <c r="E8" s="384"/>
      <c r="F8" s="384"/>
      <c r="G8" s="384"/>
      <c r="H8" s="384"/>
      <c r="I8" s="384"/>
      <c r="J8" s="384"/>
      <c r="K8" s="384"/>
      <c r="L8" s="384"/>
      <c r="M8" s="384"/>
      <c r="N8" s="384"/>
      <c r="O8" s="385">
        <f t="shared" si="0"/>
        <v>0</v>
      </c>
      <c r="P8" s="385">
        <f t="shared" si="1"/>
        <v>0</v>
      </c>
      <c r="S8" s="133" t="str">
        <f>'ADO-40'!$B$9</f>
        <v>Formation à l'isolation</v>
      </c>
      <c r="U8" s="386">
        <v>50</v>
      </c>
    </row>
    <row r="9" spans="2:21" x14ac:dyDescent="0.25">
      <c r="B9" s="370" t="s">
        <v>131</v>
      </c>
      <c r="C9" s="384">
        <f>'ADO-6'!$E$42</f>
        <v>0</v>
      </c>
      <c r="D9" s="384"/>
      <c r="E9" s="384"/>
      <c r="F9" s="384"/>
      <c r="G9" s="384"/>
      <c r="H9" s="384"/>
      <c r="I9" s="384"/>
      <c r="J9" s="384"/>
      <c r="K9" s="384"/>
      <c r="L9" s="384"/>
      <c r="M9" s="384"/>
      <c r="N9" s="384"/>
      <c r="O9" s="385">
        <f t="shared" si="0"/>
        <v>0</v>
      </c>
      <c r="P9" s="385">
        <f t="shared" si="1"/>
        <v>0</v>
      </c>
      <c r="S9" s="133" t="str">
        <f>'ADO-41'!$B$9</f>
        <v>Formation Eco Guide - Energie</v>
      </c>
      <c r="U9" s="386" t="s">
        <v>703</v>
      </c>
    </row>
    <row r="10" spans="2:21" x14ac:dyDescent="0.25">
      <c r="B10" s="370" t="s">
        <v>125</v>
      </c>
      <c r="C10" s="384">
        <f>'ADO-7'!$E$42</f>
        <v>0</v>
      </c>
      <c r="D10" s="384"/>
      <c r="E10" s="384"/>
      <c r="F10" s="384"/>
      <c r="G10" s="384"/>
      <c r="H10" s="384"/>
      <c r="I10" s="384"/>
      <c r="J10" s="384"/>
      <c r="K10" s="384"/>
      <c r="L10" s="384"/>
      <c r="M10" s="384"/>
      <c r="N10" s="384"/>
      <c r="O10" s="385">
        <f t="shared" si="0"/>
        <v>0</v>
      </c>
      <c r="P10" s="385">
        <f t="shared" si="1"/>
        <v>0</v>
      </c>
      <c r="S10" s="133" t="str">
        <f>'ADO-22'!$B$9</f>
        <v>Sensibilisation URE - chaleur</v>
      </c>
      <c r="U10" s="386" t="s">
        <v>704</v>
      </c>
    </row>
    <row r="11" spans="2:21" s="2" customFormat="1" x14ac:dyDescent="0.25">
      <c r="B11" s="370" t="s">
        <v>134</v>
      </c>
      <c r="C11" s="384">
        <f>'ADO-8'!$E$42</f>
        <v>0</v>
      </c>
      <c r="D11" s="384"/>
      <c r="E11" s="384"/>
      <c r="F11" s="384"/>
      <c r="G11" s="384"/>
      <c r="H11" s="384"/>
      <c r="I11" s="384"/>
      <c r="J11" s="384"/>
      <c r="K11" s="384"/>
      <c r="L11" s="384"/>
      <c r="M11" s="384"/>
      <c r="N11" s="384"/>
      <c r="O11" s="385">
        <f t="shared" si="0"/>
        <v>0</v>
      </c>
      <c r="P11" s="385">
        <f t="shared" si="1"/>
        <v>0</v>
      </c>
      <c r="Q11" s="6"/>
      <c r="R11" s="6"/>
      <c r="S11" s="133" t="str">
        <f>'ADO-23'!$B$9</f>
        <v>Sensibilisation URE - électricité</v>
      </c>
      <c r="U11" s="386" t="s">
        <v>705</v>
      </c>
    </row>
    <row r="12" spans="2:21" s="2" customFormat="1" x14ac:dyDescent="0.25">
      <c r="B12" s="370" t="s">
        <v>135</v>
      </c>
      <c r="C12" s="384">
        <f>'ADO-9'!$E$42</f>
        <v>0</v>
      </c>
      <c r="D12" s="384"/>
      <c r="E12" s="384"/>
      <c r="F12" s="384"/>
      <c r="G12" s="384"/>
      <c r="H12" s="384"/>
      <c r="I12" s="384"/>
      <c r="J12" s="384"/>
      <c r="K12" s="384"/>
      <c r="L12" s="384"/>
      <c r="M12" s="384"/>
      <c r="N12" s="384"/>
      <c r="O12" s="385">
        <f t="shared" si="0"/>
        <v>0</v>
      </c>
      <c r="P12" s="385">
        <f t="shared" si="1"/>
        <v>0</v>
      </c>
      <c r="Q12" s="6"/>
      <c r="R12" s="6"/>
      <c r="S12" s="133" t="str">
        <f>'ADO-3'!$B$9</f>
        <v>Economie d'énergies en milieu scolaire</v>
      </c>
      <c r="U12" s="386" t="s">
        <v>702</v>
      </c>
    </row>
    <row r="13" spans="2:21" s="2" customFormat="1" x14ac:dyDescent="0.25">
      <c r="B13" s="370" t="s">
        <v>244</v>
      </c>
      <c r="C13" s="384">
        <f>'ADO-10'!$E$42</f>
        <v>0</v>
      </c>
      <c r="D13" s="384"/>
      <c r="E13" s="384"/>
      <c r="F13" s="384"/>
      <c r="G13" s="384"/>
      <c r="H13" s="384"/>
      <c r="I13" s="384"/>
      <c r="J13" s="384"/>
      <c r="K13" s="384"/>
      <c r="L13" s="384"/>
      <c r="M13" s="384"/>
      <c r="N13" s="384"/>
      <c r="O13" s="385">
        <f t="shared" si="0"/>
        <v>0</v>
      </c>
      <c r="P13" s="385">
        <f t="shared" si="1"/>
        <v>0</v>
      </c>
      <c r="S13" s="133" t="str">
        <f>'ADO-24'!$B$9</f>
        <v xml:space="preserve">Evènement </v>
      </c>
      <c r="U13" s="386" t="s">
        <v>706</v>
      </c>
    </row>
    <row r="14" spans="2:21" s="2" customFormat="1" x14ac:dyDescent="0.25">
      <c r="B14" s="370" t="s">
        <v>245</v>
      </c>
      <c r="C14" s="384">
        <f>'ADO-11'!$E$42</f>
        <v>0</v>
      </c>
      <c r="D14" s="384"/>
      <c r="E14" s="384"/>
      <c r="F14" s="384"/>
      <c r="G14" s="384"/>
      <c r="H14" s="384"/>
      <c r="I14" s="384"/>
      <c r="J14" s="384"/>
      <c r="K14" s="384"/>
      <c r="L14" s="384"/>
      <c r="M14" s="384"/>
      <c r="N14" s="384"/>
      <c r="O14" s="385">
        <f t="shared" si="0"/>
        <v>0</v>
      </c>
      <c r="P14" s="385">
        <f t="shared" si="1"/>
        <v>0</v>
      </c>
      <c r="S14" s="133" t="str">
        <f>'ADO-25'!$B$9</f>
        <v>Evènement festif Supra communal</v>
      </c>
      <c r="U14" s="386" t="s">
        <v>706</v>
      </c>
    </row>
    <row r="15" spans="2:21" s="2" customFormat="1" x14ac:dyDescent="0.25">
      <c r="B15" s="370" t="s">
        <v>770</v>
      </c>
      <c r="C15" s="384">
        <f>'ADO-20'!$E$42</f>
        <v>0</v>
      </c>
      <c r="D15" s="384"/>
      <c r="E15" s="384"/>
      <c r="F15" s="384"/>
      <c r="G15" s="384"/>
      <c r="H15" s="384"/>
      <c r="I15" s="384"/>
      <c r="J15" s="384"/>
      <c r="K15" s="384"/>
      <c r="L15" s="384"/>
      <c r="M15" s="384"/>
      <c r="N15" s="384"/>
      <c r="O15" s="385">
        <f t="shared" si="0"/>
        <v>0</v>
      </c>
      <c r="P15" s="385">
        <f t="shared" si="1"/>
        <v>0</v>
      </c>
      <c r="Q15" s="6"/>
      <c r="R15" s="6"/>
      <c r="S15" s="133" t="str">
        <f>'ADO-4'!$B$9</f>
        <v>Informations aux agriculteurs</v>
      </c>
      <c r="U15" s="386" t="s">
        <v>707</v>
      </c>
    </row>
    <row r="16" spans="2:21" s="2" customFormat="1" x14ac:dyDescent="0.25">
      <c r="B16" s="370" t="s">
        <v>771</v>
      </c>
      <c r="C16" s="384">
        <f>'ADO-21'!$E$42</f>
        <v>0</v>
      </c>
      <c r="D16" s="384"/>
      <c r="E16" s="384"/>
      <c r="F16" s="384"/>
      <c r="G16" s="384"/>
      <c r="H16" s="384"/>
      <c r="I16" s="384"/>
      <c r="J16" s="384"/>
      <c r="K16" s="384"/>
      <c r="L16" s="384"/>
      <c r="M16" s="384"/>
      <c r="N16" s="384"/>
      <c r="O16" s="385">
        <f t="shared" si="0"/>
        <v>0</v>
      </c>
      <c r="P16" s="385">
        <f t="shared" si="1"/>
        <v>0</v>
      </c>
      <c r="Q16" s="6"/>
      <c r="R16" s="6"/>
      <c r="S16" s="133" t="str">
        <f>'ADO-5'!$B$9</f>
        <v>Information aux entreprises</v>
      </c>
      <c r="U16" s="386" t="s">
        <v>708</v>
      </c>
    </row>
    <row r="17" spans="2:21" s="2" customFormat="1" x14ac:dyDescent="0.25">
      <c r="B17" s="370" t="s">
        <v>772</v>
      </c>
      <c r="C17" s="384">
        <f>'ADO-22'!$E$42</f>
        <v>0</v>
      </c>
      <c r="D17" s="384"/>
      <c r="E17" s="384"/>
      <c r="F17" s="384"/>
      <c r="G17" s="384"/>
      <c r="H17" s="384"/>
      <c r="I17" s="384"/>
      <c r="J17" s="384"/>
      <c r="K17" s="384"/>
      <c r="L17" s="384"/>
      <c r="M17" s="384"/>
      <c r="N17" s="384"/>
      <c r="O17" s="385">
        <f t="shared" si="0"/>
        <v>0</v>
      </c>
      <c r="P17" s="385">
        <f t="shared" si="1"/>
        <v>0</v>
      </c>
      <c r="Q17" s="6"/>
      <c r="R17" s="6"/>
      <c r="S17" s="133" t="str">
        <f>'ADO-26'!$B$9</f>
        <v>Centrale d'achat</v>
      </c>
      <c r="U17" s="386" t="s">
        <v>709</v>
      </c>
    </row>
    <row r="18" spans="2:21" x14ac:dyDescent="0.25">
      <c r="B18" s="370" t="s">
        <v>773</v>
      </c>
      <c r="C18" s="384">
        <f>'ADO-23'!$E$42</f>
        <v>0</v>
      </c>
      <c r="D18" s="384"/>
      <c r="E18" s="384"/>
      <c r="F18" s="384"/>
      <c r="G18" s="384"/>
      <c r="H18" s="384"/>
      <c r="I18" s="384"/>
      <c r="J18" s="384"/>
      <c r="K18" s="384"/>
      <c r="L18" s="384"/>
      <c r="M18" s="384"/>
      <c r="N18" s="384"/>
      <c r="O18" s="385">
        <f t="shared" si="0"/>
        <v>0</v>
      </c>
      <c r="P18" s="385">
        <f t="shared" si="1"/>
        <v>0</v>
      </c>
      <c r="S18" s="133" t="str">
        <f>'ADO-27'!$B$9</f>
        <v>Analyse thermographique</v>
      </c>
      <c r="U18" s="386" t="s">
        <v>705</v>
      </c>
    </row>
    <row r="19" spans="2:21" x14ac:dyDescent="0.25">
      <c r="B19" s="370" t="s">
        <v>774</v>
      </c>
      <c r="C19" s="384">
        <f>'ADO-24'!$E$42</f>
        <v>0</v>
      </c>
      <c r="D19" s="384"/>
      <c r="E19" s="384"/>
      <c r="F19" s="384"/>
      <c r="G19" s="384"/>
      <c r="H19" s="384"/>
      <c r="I19" s="384"/>
      <c r="J19" s="384"/>
      <c r="K19" s="384"/>
      <c r="L19" s="384"/>
      <c r="M19" s="384"/>
      <c r="N19" s="384"/>
      <c r="O19" s="385">
        <f t="shared" si="0"/>
        <v>0</v>
      </c>
      <c r="P19" s="385">
        <f t="shared" si="1"/>
        <v>0</v>
      </c>
      <c r="S19" s="133" t="str">
        <f>'ADO-6'!$B$9</f>
        <v>Suivi de la consommation énergétique</v>
      </c>
      <c r="U19" s="386" t="s">
        <v>710</v>
      </c>
    </row>
    <row r="20" spans="2:21" x14ac:dyDescent="0.25">
      <c r="B20" s="370" t="s">
        <v>775</v>
      </c>
      <c r="C20" s="384">
        <f>'ADO-25'!$E$42</f>
        <v>0</v>
      </c>
      <c r="D20" s="384"/>
      <c r="E20" s="384"/>
      <c r="F20" s="384"/>
      <c r="G20" s="384"/>
      <c r="H20" s="384"/>
      <c r="I20" s="384"/>
      <c r="J20" s="384"/>
      <c r="K20" s="384"/>
      <c r="L20" s="384"/>
      <c r="M20" s="384"/>
      <c r="N20" s="384"/>
      <c r="O20" s="385">
        <f t="shared" si="0"/>
        <v>0</v>
      </c>
      <c r="P20" s="385">
        <f t="shared" si="1"/>
        <v>0</v>
      </c>
      <c r="Q20" s="2"/>
      <c r="R20" s="2"/>
      <c r="S20" s="133" t="str">
        <f>'ADO-28'!$B$9</f>
        <v>Incitant à la contribution au PAED</v>
      </c>
      <c r="U20" s="386" t="s">
        <v>711</v>
      </c>
    </row>
    <row r="21" spans="2:21" x14ac:dyDescent="0.25">
      <c r="B21" s="370" t="s">
        <v>776</v>
      </c>
      <c r="C21" s="384">
        <f>'ADO-26'!$E$42</f>
        <v>0</v>
      </c>
      <c r="D21" s="384"/>
      <c r="E21" s="384"/>
      <c r="F21" s="384"/>
      <c r="G21" s="384"/>
      <c r="H21" s="384"/>
      <c r="I21" s="384"/>
      <c r="J21" s="384"/>
      <c r="K21" s="384"/>
      <c r="L21" s="384"/>
      <c r="M21" s="384"/>
      <c r="N21" s="384"/>
      <c r="O21" s="385">
        <f t="shared" si="0"/>
        <v>0</v>
      </c>
      <c r="P21" s="385">
        <f t="shared" si="1"/>
        <v>0</v>
      </c>
      <c r="S21" s="133" t="str">
        <f>'ADU-100'!$B$9</f>
        <v>Installation solaires thermiques existantes</v>
      </c>
      <c r="U21" s="386" t="s">
        <v>712</v>
      </c>
    </row>
    <row r="22" spans="2:21" x14ac:dyDescent="0.25">
      <c r="B22" s="370" t="s">
        <v>777</v>
      </c>
      <c r="C22" s="384">
        <f>'ADO-27'!$E$42</f>
        <v>0</v>
      </c>
      <c r="D22" s="384"/>
      <c r="E22" s="384"/>
      <c r="F22" s="384"/>
      <c r="G22" s="384"/>
      <c r="H22" s="384"/>
      <c r="I22" s="384"/>
      <c r="J22" s="384"/>
      <c r="K22" s="384"/>
      <c r="L22" s="384"/>
      <c r="M22" s="384"/>
      <c r="N22" s="384"/>
      <c r="O22" s="385">
        <f t="shared" si="0"/>
        <v>0</v>
      </c>
      <c r="P22" s="385">
        <f t="shared" si="1"/>
        <v>0</v>
      </c>
      <c r="S22" s="133" t="str">
        <f>'ADU-70'!$B$9</f>
        <v xml:space="preserve"> PhV &lt; 10 kWc - existant</v>
      </c>
      <c r="U22" s="386" t="s">
        <v>713</v>
      </c>
    </row>
    <row r="23" spans="2:21" x14ac:dyDescent="0.25">
      <c r="B23" s="370" t="s">
        <v>778</v>
      </c>
      <c r="C23" s="384">
        <f>'ADO-28'!$E$42</f>
        <v>0</v>
      </c>
      <c r="D23" s="384"/>
      <c r="E23" s="384"/>
      <c r="F23" s="384"/>
      <c r="G23" s="384"/>
      <c r="H23" s="384"/>
      <c r="I23" s="384"/>
      <c r="J23" s="384"/>
      <c r="K23" s="384"/>
      <c r="L23" s="384"/>
      <c r="M23" s="384"/>
      <c r="N23" s="384"/>
      <c r="O23" s="385">
        <f t="shared" si="0"/>
        <v>0</v>
      </c>
      <c r="P23" s="385">
        <f t="shared" si="1"/>
        <v>0</v>
      </c>
      <c r="S23" s="133" t="str">
        <f>'ADU-93'!$B$9</f>
        <v>Part biogaz IDELUX</v>
      </c>
      <c r="U23" s="386" t="s">
        <v>705</v>
      </c>
    </row>
    <row r="24" spans="2:21" x14ac:dyDescent="0.25">
      <c r="B24" s="370" t="s">
        <v>867</v>
      </c>
      <c r="C24" s="384">
        <f>'ADO-29'!$E$42</f>
        <v>0</v>
      </c>
      <c r="D24" s="384"/>
      <c r="E24" s="384"/>
      <c r="F24" s="384"/>
      <c r="G24" s="384"/>
      <c r="H24" s="384"/>
      <c r="I24" s="384"/>
      <c r="J24" s="384"/>
      <c r="K24" s="384"/>
      <c r="L24" s="384"/>
      <c r="M24" s="384"/>
      <c r="N24" s="384"/>
      <c r="O24" s="385">
        <f t="shared" si="0"/>
        <v>0</v>
      </c>
      <c r="P24" s="385">
        <f t="shared" si="1"/>
        <v>0</v>
      </c>
      <c r="S24" s="133" t="str">
        <f>'ADU-71'!$B$9</f>
        <v>PhV &gt; 10 kWc - existant</v>
      </c>
      <c r="U24" s="386" t="s">
        <v>714</v>
      </c>
    </row>
    <row r="25" spans="2:21" x14ac:dyDescent="0.25">
      <c r="B25" s="370" t="s">
        <v>868</v>
      </c>
      <c r="C25" s="384">
        <f>'ADO-30'!$E$42</f>
        <v>0</v>
      </c>
      <c r="D25" s="384"/>
      <c r="E25" s="384"/>
      <c r="F25" s="384"/>
      <c r="G25" s="384"/>
      <c r="H25" s="384"/>
      <c r="I25" s="384"/>
      <c r="J25" s="384"/>
      <c r="K25" s="384"/>
      <c r="L25" s="384"/>
      <c r="M25" s="384"/>
      <c r="N25" s="384"/>
      <c r="O25" s="385">
        <f t="shared" si="0"/>
        <v>0</v>
      </c>
      <c r="P25" s="385">
        <f t="shared" si="1"/>
        <v>0</v>
      </c>
      <c r="S25" s="133" t="str">
        <f>'ADU-3'!$B$9</f>
        <v>Economies d'énergie 2006-2014</v>
      </c>
      <c r="U25" s="386" t="s">
        <v>715</v>
      </c>
    </row>
    <row r="26" spans="2:21" x14ac:dyDescent="0.25">
      <c r="B26" s="370" t="s">
        <v>869</v>
      </c>
      <c r="C26" s="384">
        <f>'ADO-31'!$E$42</f>
        <v>0</v>
      </c>
      <c r="D26" s="384"/>
      <c r="E26" s="384"/>
      <c r="F26" s="384"/>
      <c r="G26" s="384"/>
      <c r="H26" s="384"/>
      <c r="I26" s="384"/>
      <c r="J26" s="384"/>
      <c r="K26" s="384"/>
      <c r="L26" s="384"/>
      <c r="M26" s="384"/>
      <c r="N26" s="384"/>
      <c r="O26" s="385">
        <f t="shared" si="0"/>
        <v>0</v>
      </c>
      <c r="P26" s="385">
        <f t="shared" si="1"/>
        <v>0</v>
      </c>
      <c r="S26" s="133">
        <f>'ADU-4'!$B$9</f>
        <v>0</v>
      </c>
      <c r="U26" s="386" t="s">
        <v>710</v>
      </c>
    </row>
    <row r="27" spans="2:21" x14ac:dyDescent="0.25">
      <c r="B27" s="370" t="s">
        <v>870</v>
      </c>
      <c r="C27" s="384">
        <f>'ADO-32'!$E$42</f>
        <v>0</v>
      </c>
      <c r="D27" s="384"/>
      <c r="E27" s="384"/>
      <c r="F27" s="384"/>
      <c r="G27" s="384"/>
      <c r="H27" s="384"/>
      <c r="I27" s="384"/>
      <c r="J27" s="384"/>
      <c r="K27" s="384"/>
      <c r="L27" s="384"/>
      <c r="M27" s="384"/>
      <c r="N27" s="384"/>
      <c r="O27" s="385">
        <f t="shared" si="0"/>
        <v>0</v>
      </c>
      <c r="P27" s="385">
        <f t="shared" si="1"/>
        <v>0</v>
      </c>
      <c r="S27" s="133" t="str">
        <f>'ADU-5'!$B$9</f>
        <v>Travaux économiseurs d'énergie - Chauffage</v>
      </c>
      <c r="U27" s="386" t="s">
        <v>716</v>
      </c>
    </row>
    <row r="28" spans="2:21" x14ac:dyDescent="0.25">
      <c r="B28" s="370" t="s">
        <v>871</v>
      </c>
      <c r="C28" s="384">
        <f>'ADO-33'!$E$42</f>
        <v>0</v>
      </c>
      <c r="D28" s="384"/>
      <c r="E28" s="384"/>
      <c r="F28" s="384"/>
      <c r="G28" s="384"/>
      <c r="H28" s="384"/>
      <c r="I28" s="384"/>
      <c r="J28" s="384"/>
      <c r="K28" s="384"/>
      <c r="L28" s="384"/>
      <c r="M28" s="384"/>
      <c r="N28" s="384"/>
      <c r="O28" s="385">
        <f t="shared" si="0"/>
        <v>0</v>
      </c>
      <c r="P28" s="385">
        <f t="shared" si="1"/>
        <v>0</v>
      </c>
      <c r="S28" s="133">
        <f>'ADU-102'!$B$9</f>
        <v>0</v>
      </c>
      <c r="U28" s="386" t="s">
        <v>717</v>
      </c>
    </row>
    <row r="29" spans="2:21" x14ac:dyDescent="0.25">
      <c r="B29" s="370" t="s">
        <v>987</v>
      </c>
      <c r="C29" s="384">
        <f>'ADO-34'!$E$42</f>
        <v>0</v>
      </c>
      <c r="D29" s="384"/>
      <c r="E29" s="384"/>
      <c r="F29" s="384"/>
      <c r="G29" s="384"/>
      <c r="H29" s="384"/>
      <c r="I29" s="384"/>
      <c r="J29" s="384"/>
      <c r="K29" s="384"/>
      <c r="L29" s="384"/>
      <c r="M29" s="384"/>
      <c r="N29" s="384"/>
      <c r="O29" s="385">
        <f t="shared" si="0"/>
        <v>0</v>
      </c>
      <c r="P29" s="385">
        <f t="shared" si="1"/>
        <v>0</v>
      </c>
      <c r="Q29" s="2"/>
      <c r="R29" s="2"/>
      <c r="S29" s="133">
        <f>'ADU-6'!$B$9</f>
        <v>0</v>
      </c>
      <c r="U29" s="386" t="s">
        <v>718</v>
      </c>
    </row>
    <row r="30" spans="2:21" x14ac:dyDescent="0.25">
      <c r="B30" s="370" t="s">
        <v>990</v>
      </c>
      <c r="C30" s="384">
        <f>'ADO-35'!$E$42</f>
        <v>0</v>
      </c>
      <c r="D30" s="384"/>
      <c r="E30" s="384"/>
      <c r="F30" s="384"/>
      <c r="G30" s="384"/>
      <c r="H30" s="384"/>
      <c r="I30" s="384"/>
      <c r="J30" s="384"/>
      <c r="K30" s="384"/>
      <c r="L30" s="384"/>
      <c r="M30" s="384"/>
      <c r="N30" s="384"/>
      <c r="O30" s="385">
        <f t="shared" si="0"/>
        <v>0</v>
      </c>
      <c r="P30" s="385">
        <f t="shared" si="1"/>
        <v>0</v>
      </c>
      <c r="S30" s="133" t="str">
        <f>'ADU-1'!$B$9</f>
        <v>Economies d'énergie 2006-2014</v>
      </c>
      <c r="U30" s="386" t="s">
        <v>719</v>
      </c>
    </row>
    <row r="31" spans="2:21" x14ac:dyDescent="0.25">
      <c r="B31" s="370" t="s">
        <v>1016</v>
      </c>
      <c r="C31" s="384">
        <f>'ADO-36'!$E$42</f>
        <v>0</v>
      </c>
      <c r="D31" s="384"/>
      <c r="E31" s="384"/>
      <c r="F31" s="384"/>
      <c r="G31" s="384"/>
      <c r="H31" s="384"/>
      <c r="I31" s="384"/>
      <c r="J31" s="384"/>
      <c r="K31" s="384"/>
      <c r="L31" s="384"/>
      <c r="M31" s="384"/>
      <c r="N31" s="384"/>
      <c r="O31" s="385">
        <f t="shared" si="0"/>
        <v>0</v>
      </c>
      <c r="P31" s="385">
        <f t="shared" si="1"/>
        <v>0</v>
      </c>
      <c r="S31" s="133" t="e">
        <f>#REF!</f>
        <v>#REF!</v>
      </c>
      <c r="U31" s="386" t="s">
        <v>720</v>
      </c>
    </row>
    <row r="32" spans="2:21" x14ac:dyDescent="0.25">
      <c r="B32" s="370" t="s">
        <v>1022</v>
      </c>
      <c r="C32" s="384">
        <f>'ADO-39'!$E$42</f>
        <v>0</v>
      </c>
      <c r="D32" s="384"/>
      <c r="E32" s="384"/>
      <c r="F32" s="384"/>
      <c r="G32" s="384"/>
      <c r="H32" s="384"/>
      <c r="I32" s="384"/>
      <c r="J32" s="384"/>
      <c r="K32" s="384"/>
      <c r="L32" s="384"/>
      <c r="M32" s="384"/>
      <c r="N32" s="384"/>
      <c r="O32" s="385">
        <f t="shared" si="0"/>
        <v>0</v>
      </c>
      <c r="P32" s="385">
        <f t="shared" si="1"/>
        <v>0</v>
      </c>
      <c r="S32" s="133" t="str">
        <f>'ADU-140'!$B$9</f>
        <v>Plan EPURE</v>
      </c>
      <c r="U32" s="386" t="s">
        <v>721</v>
      </c>
    </row>
    <row r="33" spans="2:21" x14ac:dyDescent="0.25">
      <c r="B33" s="370" t="s">
        <v>779</v>
      </c>
      <c r="C33" s="384">
        <f>'ADO-40'!$E$42</f>
        <v>0</v>
      </c>
      <c r="D33" s="384"/>
      <c r="E33" s="384"/>
      <c r="F33" s="384"/>
      <c r="G33" s="384"/>
      <c r="H33" s="384"/>
      <c r="I33" s="384"/>
      <c r="J33" s="384"/>
      <c r="K33" s="384"/>
      <c r="L33" s="384"/>
      <c r="M33" s="384"/>
      <c r="N33" s="384"/>
      <c r="O33" s="385">
        <f t="shared" si="0"/>
        <v>0</v>
      </c>
      <c r="P33" s="385">
        <f t="shared" si="1"/>
        <v>0</v>
      </c>
      <c r="S33" s="133" t="str">
        <f>'ADU-7'!$B$9</f>
        <v>Travaux d'isolation - PLANCHERS</v>
      </c>
      <c r="U33" s="386" t="s">
        <v>722</v>
      </c>
    </row>
    <row r="34" spans="2:21" x14ac:dyDescent="0.25">
      <c r="B34" s="370" t="s">
        <v>780</v>
      </c>
      <c r="C34" s="384">
        <f>'ADO-41'!$E$42</f>
        <v>0</v>
      </c>
      <c r="D34" s="384"/>
      <c r="E34" s="384"/>
      <c r="F34" s="384"/>
      <c r="G34" s="384"/>
      <c r="H34" s="384"/>
      <c r="I34" s="384"/>
      <c r="J34" s="384"/>
      <c r="K34" s="384"/>
      <c r="L34" s="384"/>
      <c r="M34" s="384"/>
      <c r="N34" s="384"/>
      <c r="O34" s="385">
        <f t="shared" si="0"/>
        <v>0</v>
      </c>
      <c r="P34" s="385">
        <f t="shared" si="1"/>
        <v>0</v>
      </c>
      <c r="S34" s="133" t="str">
        <f>'ADU-8'!$B$9</f>
        <v>Travaux d'isolation -TOITURES</v>
      </c>
      <c r="U34" s="386" t="s">
        <v>714</v>
      </c>
    </row>
    <row r="35" spans="2:21" x14ac:dyDescent="0.25">
      <c r="B35" s="369" t="s">
        <v>70</v>
      </c>
      <c r="C35" s="384">
        <f>'ADU-1'!$E$42</f>
        <v>0</v>
      </c>
      <c r="D35" s="384"/>
      <c r="E35" s="384"/>
      <c r="F35" s="384"/>
      <c r="G35" s="384"/>
      <c r="H35" s="384"/>
      <c r="I35" s="384"/>
      <c r="J35" s="384"/>
      <c r="K35" s="384"/>
      <c r="L35" s="384"/>
      <c r="M35" s="384"/>
      <c r="N35" s="384"/>
      <c r="O35" s="385">
        <f t="shared" si="0"/>
        <v>0</v>
      </c>
      <c r="P35" s="385">
        <f t="shared" si="1"/>
        <v>0</v>
      </c>
      <c r="Q35" s="2"/>
      <c r="R35" s="2"/>
      <c r="S35" s="133" t="str">
        <f>'ADU-9'!$B$9</f>
        <v>Travaux d'isolation _ MURS EXTERIEURS</v>
      </c>
      <c r="U35" s="386" t="s">
        <v>723</v>
      </c>
    </row>
    <row r="36" spans="2:21" ht="15.75" customHeight="1" x14ac:dyDescent="0.25">
      <c r="B36" s="369" t="s">
        <v>71</v>
      </c>
      <c r="C36" s="384">
        <f>'ADU-2'!$E$42</f>
        <v>0</v>
      </c>
      <c r="D36" s="384"/>
      <c r="E36" s="384"/>
      <c r="F36" s="384"/>
      <c r="G36" s="384"/>
      <c r="H36" s="384"/>
      <c r="I36" s="384"/>
      <c r="J36" s="384"/>
      <c r="K36" s="384"/>
      <c r="L36" s="384"/>
      <c r="M36" s="384"/>
      <c r="N36" s="384"/>
      <c r="O36" s="385">
        <f t="shared" si="0"/>
        <v>0</v>
      </c>
      <c r="P36" s="385">
        <f t="shared" si="1"/>
        <v>0</v>
      </c>
      <c r="S36" s="133" t="str">
        <f>'ADU-10'!$B$9</f>
        <v>Travaux d'isolation  - VITRAGES</v>
      </c>
      <c r="U36" s="386" t="s">
        <v>724</v>
      </c>
    </row>
    <row r="37" spans="2:21" ht="15.75" customHeight="1" x14ac:dyDescent="0.25">
      <c r="B37" s="369" t="s">
        <v>72</v>
      </c>
      <c r="C37" s="384">
        <f>'ADU-3'!$E$42</f>
        <v>0</v>
      </c>
      <c r="D37" s="384"/>
      <c r="E37" s="384"/>
      <c r="F37" s="384"/>
      <c r="G37" s="384"/>
      <c r="H37" s="384"/>
      <c r="I37" s="384"/>
      <c r="J37" s="384"/>
      <c r="K37" s="384"/>
      <c r="L37" s="384"/>
      <c r="M37" s="384"/>
      <c r="N37" s="384"/>
      <c r="O37" s="385">
        <f t="shared" si="0"/>
        <v>0</v>
      </c>
      <c r="P37" s="385">
        <f t="shared" si="1"/>
        <v>0</v>
      </c>
      <c r="S37" s="133" t="str">
        <f>'ADU-20'!$B$9</f>
        <v xml:space="preserve">Isolation </v>
      </c>
      <c r="U37" s="386" t="s">
        <v>725</v>
      </c>
    </row>
    <row r="38" spans="2:21" ht="15.75" customHeight="1" x14ac:dyDescent="0.25">
      <c r="B38" s="369" t="s">
        <v>759</v>
      </c>
      <c r="C38" s="384">
        <f>'ADU-4'!$E$42</f>
        <v>0</v>
      </c>
      <c r="D38" s="384"/>
      <c r="E38" s="384"/>
      <c r="F38" s="384"/>
      <c r="G38" s="384"/>
      <c r="H38" s="384"/>
      <c r="I38" s="384"/>
      <c r="J38" s="384"/>
      <c r="K38" s="384"/>
      <c r="L38" s="384"/>
      <c r="M38" s="384"/>
      <c r="N38" s="384"/>
      <c r="O38" s="385">
        <f t="shared" si="0"/>
        <v>0</v>
      </c>
      <c r="P38" s="385">
        <f t="shared" si="1"/>
        <v>0</v>
      </c>
      <c r="S38" s="133" t="str">
        <f>'ADU-11'!$B$9</f>
        <v>Luminaires économiques</v>
      </c>
      <c r="U38" s="387" t="s">
        <v>726</v>
      </c>
    </row>
    <row r="39" spans="2:21" ht="15.75" customHeight="1" x14ac:dyDescent="0.25">
      <c r="B39" s="369" t="s">
        <v>73</v>
      </c>
      <c r="C39" s="384">
        <f>'ADU-5'!$E$42</f>
        <v>0</v>
      </c>
      <c r="D39" s="384"/>
      <c r="E39" s="384"/>
      <c r="F39" s="384"/>
      <c r="G39" s="384"/>
      <c r="H39" s="384"/>
      <c r="I39" s="384"/>
      <c r="J39" s="384"/>
      <c r="K39" s="384"/>
      <c r="L39" s="384"/>
      <c r="M39" s="384"/>
      <c r="N39" s="384"/>
      <c r="O39" s="385">
        <f t="shared" si="0"/>
        <v>0</v>
      </c>
      <c r="P39" s="385">
        <f t="shared" si="1"/>
        <v>0</v>
      </c>
      <c r="S39" s="133" t="str">
        <f>'ADU-12'!$B$9</f>
        <v>Electroménager ECO</v>
      </c>
      <c r="U39" s="386" t="s">
        <v>727</v>
      </c>
    </row>
    <row r="40" spans="2:21" ht="15.75" customHeight="1" x14ac:dyDescent="0.25">
      <c r="B40" s="369" t="s">
        <v>74</v>
      </c>
      <c r="C40" s="384">
        <f>'ADU-6'!$E$42</f>
        <v>0</v>
      </c>
      <c r="D40" s="384"/>
      <c r="E40" s="384"/>
      <c r="F40" s="384"/>
      <c r="G40" s="384"/>
      <c r="H40" s="384"/>
      <c r="I40" s="384"/>
      <c r="J40" s="384"/>
      <c r="K40" s="384"/>
      <c r="L40" s="384"/>
      <c r="M40" s="384"/>
      <c r="N40" s="384"/>
      <c r="O40" s="385">
        <f t="shared" si="0"/>
        <v>0</v>
      </c>
      <c r="P40" s="385">
        <f t="shared" si="1"/>
        <v>0</v>
      </c>
      <c r="S40" s="133" t="str">
        <f>'ADU-13'!$B$9</f>
        <v>Chaudières à condensation</v>
      </c>
      <c r="U40" s="386" t="s">
        <v>728</v>
      </c>
    </row>
    <row r="41" spans="2:21" x14ac:dyDescent="0.25">
      <c r="B41" s="369" t="s">
        <v>75</v>
      </c>
      <c r="C41" s="384">
        <f>'ADU-7'!$E$42</f>
        <v>0</v>
      </c>
      <c r="D41" s="384"/>
      <c r="E41" s="384"/>
      <c r="F41" s="384"/>
      <c r="G41" s="384"/>
      <c r="H41" s="384"/>
      <c r="I41" s="384"/>
      <c r="J41" s="384"/>
      <c r="K41" s="384"/>
      <c r="L41" s="384"/>
      <c r="M41" s="384"/>
      <c r="N41" s="384"/>
      <c r="O41" s="385">
        <f t="shared" si="0"/>
        <v>0</v>
      </c>
      <c r="P41" s="385">
        <f t="shared" si="1"/>
        <v>0</v>
      </c>
      <c r="S41" s="133" t="str">
        <f>'ADU-14'!$B$9</f>
        <v>Chaudière biomasse</v>
      </c>
      <c r="U41" s="386" t="s">
        <v>729</v>
      </c>
    </row>
    <row r="42" spans="2:21" x14ac:dyDescent="0.25">
      <c r="B42" s="369" t="s">
        <v>79</v>
      </c>
      <c r="C42" s="384">
        <f>'ADU-8'!$E$42</f>
        <v>0</v>
      </c>
      <c r="D42" s="384"/>
      <c r="E42" s="384"/>
      <c r="F42" s="384"/>
      <c r="G42" s="384"/>
      <c r="H42" s="384"/>
      <c r="I42" s="384"/>
      <c r="J42" s="384"/>
      <c r="K42" s="384"/>
      <c r="L42" s="384"/>
      <c r="M42" s="384"/>
      <c r="N42" s="384"/>
      <c r="O42" s="385">
        <f t="shared" si="0"/>
        <v>0</v>
      </c>
      <c r="P42" s="385">
        <f t="shared" si="1"/>
        <v>0</v>
      </c>
      <c r="S42" s="133" t="str">
        <f>'ADU-72'!$B$9</f>
        <v>PhV &lt; 10 kWc</v>
      </c>
      <c r="U42" s="386"/>
    </row>
    <row r="43" spans="2:21" x14ac:dyDescent="0.25">
      <c r="B43" s="369" t="s">
        <v>80</v>
      </c>
      <c r="C43" s="384">
        <f>'ADU-9'!$E$42</f>
        <v>0</v>
      </c>
      <c r="D43" s="384"/>
      <c r="E43" s="384"/>
      <c r="F43" s="384"/>
      <c r="G43" s="384"/>
      <c r="H43" s="384"/>
      <c r="I43" s="384"/>
      <c r="J43" s="384"/>
      <c r="K43" s="384"/>
      <c r="L43" s="384"/>
      <c r="M43" s="384"/>
      <c r="N43" s="384"/>
      <c r="O43" s="385">
        <f t="shared" si="0"/>
        <v>0</v>
      </c>
      <c r="P43" s="385">
        <f t="shared" si="1"/>
        <v>0</v>
      </c>
      <c r="S43" s="133" t="str">
        <f>'ADU-73'!$B$9</f>
        <v>PhV &lt; 10 kWc</v>
      </c>
      <c r="U43" s="386"/>
    </row>
    <row r="44" spans="2:21" x14ac:dyDescent="0.25">
      <c r="B44" s="369" t="s">
        <v>81</v>
      </c>
      <c r="C44" s="384">
        <f>'ADU-10'!$E$42</f>
        <v>0</v>
      </c>
      <c r="D44" s="384"/>
      <c r="E44" s="384"/>
      <c r="F44" s="384"/>
      <c r="G44" s="384"/>
      <c r="H44" s="384"/>
      <c r="I44" s="384"/>
      <c r="J44" s="384"/>
      <c r="K44" s="384"/>
      <c r="L44" s="384"/>
      <c r="M44" s="384"/>
      <c r="N44" s="384"/>
      <c r="O44" s="385">
        <f t="shared" si="0"/>
        <v>0</v>
      </c>
      <c r="P44" s="385">
        <f t="shared" si="1"/>
        <v>0</v>
      </c>
      <c r="S44" s="133" t="str">
        <f>'ADU-74'!$B$9</f>
        <v>Phv &gt; 10 kWc</v>
      </c>
      <c r="U44" s="386"/>
    </row>
    <row r="45" spans="2:21" x14ac:dyDescent="0.25">
      <c r="B45" s="369" t="s">
        <v>485</v>
      </c>
      <c r="C45" s="384">
        <f>'ADU-11'!$E$42</f>
        <v>0</v>
      </c>
      <c r="D45" s="384"/>
      <c r="E45" s="384"/>
      <c r="F45" s="384"/>
      <c r="G45" s="384"/>
      <c r="H45" s="384"/>
      <c r="I45" s="384"/>
      <c r="J45" s="384"/>
      <c r="K45" s="384"/>
      <c r="L45" s="384"/>
      <c r="M45" s="384"/>
      <c r="N45" s="384"/>
      <c r="O45" s="385">
        <f t="shared" si="0"/>
        <v>0</v>
      </c>
      <c r="P45" s="385">
        <f t="shared" si="1"/>
        <v>0</v>
      </c>
      <c r="S45" s="133" t="str">
        <f>'ADU-75'!$B$9</f>
        <v>PhV &lt;10 kWc</v>
      </c>
      <c r="U45" s="386"/>
    </row>
    <row r="46" spans="2:21" x14ac:dyDescent="0.25">
      <c r="B46" s="369" t="s">
        <v>82</v>
      </c>
      <c r="C46" s="384">
        <f>'ADU-12'!$E$42</f>
        <v>0</v>
      </c>
      <c r="D46" s="384"/>
      <c r="E46" s="384"/>
      <c r="F46" s="384"/>
      <c r="G46" s="384"/>
      <c r="H46" s="384"/>
      <c r="I46" s="384"/>
      <c r="J46" s="384"/>
      <c r="K46" s="384"/>
      <c r="L46" s="384"/>
      <c r="M46" s="384"/>
      <c r="N46" s="384"/>
      <c r="O46" s="385">
        <f t="shared" ref="O46:O88" si="2">SUM(C46:N46)</f>
        <v>0</v>
      </c>
      <c r="P46" s="385">
        <f t="shared" ref="P46:P88" si="3">AVERAGE(C46:N46)</f>
        <v>0</v>
      </c>
      <c r="S46" s="133" t="str">
        <f>'ADU-76'!$B$9</f>
        <v>Phv &lt;  10 kWc</v>
      </c>
      <c r="U46" s="386"/>
    </row>
    <row r="47" spans="2:21" x14ac:dyDescent="0.25">
      <c r="B47" s="369" t="s">
        <v>84</v>
      </c>
      <c r="C47" s="384">
        <f>'ADU-13'!$E$42</f>
        <v>0</v>
      </c>
      <c r="D47" s="384"/>
      <c r="E47" s="384"/>
      <c r="F47" s="384"/>
      <c r="G47" s="384"/>
      <c r="H47" s="384"/>
      <c r="I47" s="384"/>
      <c r="J47" s="384"/>
      <c r="K47" s="384"/>
      <c r="L47" s="384"/>
      <c r="M47" s="384"/>
      <c r="N47" s="384"/>
      <c r="O47" s="385">
        <f t="shared" si="2"/>
        <v>0</v>
      </c>
      <c r="P47" s="385">
        <f t="shared" si="3"/>
        <v>0</v>
      </c>
      <c r="S47" s="133" t="str">
        <f>'ADU-81'!$B$9</f>
        <v>Eolienne de 10 kW</v>
      </c>
      <c r="U47" s="386"/>
    </row>
    <row r="48" spans="2:21" x14ac:dyDescent="0.25">
      <c r="B48" s="369" t="s">
        <v>88</v>
      </c>
      <c r="C48" s="384">
        <f>'ADU-14'!$E$42</f>
        <v>0</v>
      </c>
      <c r="D48" s="384"/>
      <c r="E48" s="384"/>
      <c r="F48" s="384"/>
      <c r="G48" s="384"/>
      <c r="H48" s="384"/>
      <c r="I48" s="384"/>
      <c r="J48" s="384"/>
      <c r="K48" s="384"/>
      <c r="L48" s="384"/>
      <c r="M48" s="384"/>
      <c r="N48" s="384"/>
      <c r="O48" s="385">
        <f t="shared" si="2"/>
        <v>0</v>
      </c>
      <c r="P48" s="385">
        <f t="shared" si="3"/>
        <v>0</v>
      </c>
      <c r="S48" s="133" t="str">
        <f>'ADU-101'!$B$9</f>
        <v xml:space="preserve">Installation solaires thermiques </v>
      </c>
      <c r="U48" s="386"/>
    </row>
    <row r="49" spans="2:21" x14ac:dyDescent="0.25">
      <c r="B49" s="369" t="s">
        <v>89</v>
      </c>
      <c r="C49" s="384">
        <f>'ADU-15'!$E$42</f>
        <v>0</v>
      </c>
      <c r="D49" s="384"/>
      <c r="E49" s="384"/>
      <c r="F49" s="384"/>
      <c r="G49" s="384"/>
      <c r="H49" s="384"/>
      <c r="I49" s="384"/>
      <c r="J49" s="384"/>
      <c r="K49" s="384"/>
      <c r="L49" s="384"/>
      <c r="M49" s="384"/>
      <c r="N49" s="384"/>
      <c r="O49" s="385">
        <f t="shared" si="2"/>
        <v>0</v>
      </c>
      <c r="P49" s="385">
        <f t="shared" si="3"/>
        <v>0</v>
      </c>
      <c r="S49" s="133" t="str">
        <f>'ADU-91'!$B$9</f>
        <v xml:space="preserve"> Centrale biogaz  - bétail</v>
      </c>
      <c r="U49" s="386"/>
    </row>
    <row r="50" spans="2:21" x14ac:dyDescent="0.25">
      <c r="B50" s="369" t="s">
        <v>90</v>
      </c>
      <c r="C50" s="384">
        <f>'ADU-16'!$E$42</f>
        <v>0</v>
      </c>
      <c r="D50" s="384"/>
      <c r="E50" s="384"/>
      <c r="F50" s="384"/>
      <c r="G50" s="384"/>
      <c r="H50" s="384"/>
      <c r="I50" s="384"/>
      <c r="J50" s="384"/>
      <c r="K50" s="384"/>
      <c r="L50" s="384"/>
      <c r="M50" s="384"/>
      <c r="N50" s="384"/>
      <c r="O50" s="385">
        <f t="shared" si="2"/>
        <v>0</v>
      </c>
      <c r="P50" s="385">
        <f t="shared" si="3"/>
        <v>0</v>
      </c>
      <c r="S50" s="133" t="str">
        <f>'ADU-92'!$B$9</f>
        <v>Centrale biogaz - cultures dédiées</v>
      </c>
      <c r="U50" s="386"/>
    </row>
    <row r="51" spans="2:21" x14ac:dyDescent="0.25">
      <c r="B51" s="369" t="s">
        <v>91</v>
      </c>
      <c r="C51" s="384">
        <f>'ADU-17'!$E$42</f>
        <v>0</v>
      </c>
      <c r="D51" s="384"/>
      <c r="E51" s="384"/>
      <c r="F51" s="384"/>
      <c r="G51" s="384"/>
      <c r="H51" s="384"/>
      <c r="I51" s="384"/>
      <c r="J51" s="384"/>
      <c r="K51" s="384"/>
      <c r="L51" s="384"/>
      <c r="M51" s="384"/>
      <c r="N51" s="384"/>
      <c r="O51" s="385">
        <f t="shared" si="2"/>
        <v>0</v>
      </c>
      <c r="P51" s="385">
        <f t="shared" si="3"/>
        <v>0</v>
      </c>
      <c r="S51" s="133" t="str">
        <f>'ADU-22'!$B$9</f>
        <v>Diagnostics énergétiques</v>
      </c>
      <c r="U51" s="386"/>
    </row>
    <row r="52" spans="2:21" x14ac:dyDescent="0.25">
      <c r="B52" s="369" t="s">
        <v>92</v>
      </c>
      <c r="C52" s="384">
        <f>'ADU-18'!$E$42</f>
        <v>0</v>
      </c>
      <c r="D52" s="384"/>
      <c r="E52" s="384"/>
      <c r="F52" s="384"/>
      <c r="G52" s="384"/>
      <c r="H52" s="384"/>
      <c r="I52" s="384"/>
      <c r="J52" s="384"/>
      <c r="K52" s="384"/>
      <c r="L52" s="384"/>
      <c r="M52" s="384"/>
      <c r="N52" s="384"/>
      <c r="O52" s="385">
        <f t="shared" si="2"/>
        <v>0</v>
      </c>
      <c r="P52" s="385">
        <f t="shared" si="3"/>
        <v>0</v>
      </c>
      <c r="S52" s="133" t="str">
        <f>'ADU-23'!$B$9</f>
        <v xml:space="preserve">Réduction des consommations </v>
      </c>
      <c r="U52" s="386"/>
    </row>
    <row r="53" spans="2:21" x14ac:dyDescent="0.25">
      <c r="B53" s="369" t="s">
        <v>93</v>
      </c>
      <c r="C53" s="384">
        <f>'ADU-19'!$E$42</f>
        <v>0</v>
      </c>
      <c r="D53" s="384"/>
      <c r="E53" s="384"/>
      <c r="F53" s="384"/>
      <c r="G53" s="384"/>
      <c r="H53" s="384"/>
      <c r="I53" s="384"/>
      <c r="J53" s="384"/>
      <c r="K53" s="384"/>
      <c r="L53" s="384"/>
      <c r="M53" s="384"/>
      <c r="N53" s="384"/>
      <c r="O53" s="385">
        <f t="shared" si="2"/>
        <v>0</v>
      </c>
      <c r="P53" s="385">
        <f t="shared" si="3"/>
        <v>0</v>
      </c>
      <c r="S53" s="133" t="str">
        <f>'ADU-24'!$B$9</f>
        <v xml:space="preserve">Performance énergétique </v>
      </c>
      <c r="U53" s="386"/>
    </row>
    <row r="54" spans="2:21" x14ac:dyDescent="0.25">
      <c r="B54" s="369" t="s">
        <v>94</v>
      </c>
      <c r="C54" s="384">
        <f>'ADU-20'!$E$42</f>
        <v>0</v>
      </c>
      <c r="D54" s="384"/>
      <c r="E54" s="384"/>
      <c r="F54" s="384"/>
      <c r="G54" s="384"/>
      <c r="H54" s="384"/>
      <c r="I54" s="384"/>
      <c r="J54" s="384"/>
      <c r="K54" s="384"/>
      <c r="L54" s="384"/>
      <c r="M54" s="384"/>
      <c r="N54" s="384"/>
      <c r="O54" s="385">
        <f t="shared" si="2"/>
        <v>0</v>
      </c>
      <c r="P54" s="385">
        <f t="shared" si="3"/>
        <v>0</v>
      </c>
      <c r="S54" s="133" t="str">
        <f>'ADU-15'!$B$9</f>
        <v xml:space="preserve"> Chauffage d'appoint biomasse</v>
      </c>
      <c r="U54" s="386"/>
    </row>
    <row r="55" spans="2:21" x14ac:dyDescent="0.25">
      <c r="B55" s="369" t="s">
        <v>95</v>
      </c>
      <c r="C55" s="384">
        <f>'ADU-21'!$E$42</f>
        <v>0</v>
      </c>
      <c r="D55" s="384"/>
      <c r="E55" s="384"/>
      <c r="F55" s="384"/>
      <c r="G55" s="384"/>
      <c r="H55" s="384"/>
      <c r="I55" s="384"/>
      <c r="J55" s="384"/>
      <c r="K55" s="384"/>
      <c r="L55" s="384"/>
      <c r="M55" s="384"/>
      <c r="N55" s="384"/>
      <c r="O55" s="385">
        <f t="shared" si="2"/>
        <v>0</v>
      </c>
      <c r="P55" s="385">
        <f t="shared" si="3"/>
        <v>0</v>
      </c>
      <c r="S55" s="133" t="str">
        <f>'ADU-90'!$B$9</f>
        <v xml:space="preserve">Micro biogaz </v>
      </c>
      <c r="U55" s="386"/>
    </row>
    <row r="56" spans="2:21" x14ac:dyDescent="0.25">
      <c r="B56" s="369" t="s">
        <v>96</v>
      </c>
      <c r="C56" s="384">
        <f>'ADU-22'!$E$42</f>
        <v>0</v>
      </c>
      <c r="D56" s="384"/>
      <c r="E56" s="384"/>
      <c r="F56" s="384"/>
      <c r="G56" s="384"/>
      <c r="H56" s="384"/>
      <c r="I56" s="384"/>
      <c r="J56" s="384"/>
      <c r="K56" s="384"/>
      <c r="L56" s="384"/>
      <c r="M56" s="384"/>
      <c r="N56" s="384"/>
      <c r="O56" s="385">
        <f t="shared" si="2"/>
        <v>0</v>
      </c>
      <c r="P56" s="385">
        <f t="shared" si="3"/>
        <v>0</v>
      </c>
      <c r="S56" s="133" t="str">
        <f>'ADU-82'!$B$9</f>
        <v>Parc éolien de Hondelange</v>
      </c>
      <c r="U56" s="386"/>
    </row>
    <row r="57" spans="2:21" x14ac:dyDescent="0.25">
      <c r="B57" s="369" t="s">
        <v>97</v>
      </c>
      <c r="C57" s="384">
        <f>'ADU-23'!$E$42</f>
        <v>0</v>
      </c>
      <c r="D57" s="384"/>
      <c r="E57" s="384"/>
      <c r="F57" s="384"/>
      <c r="G57" s="384"/>
      <c r="H57" s="384"/>
      <c r="I57" s="384"/>
      <c r="J57" s="384"/>
      <c r="K57" s="384"/>
      <c r="L57" s="384"/>
      <c r="M57" s="384"/>
      <c r="N57" s="384"/>
      <c r="O57" s="385">
        <f t="shared" si="2"/>
        <v>0</v>
      </c>
      <c r="P57" s="385">
        <f t="shared" si="3"/>
        <v>0</v>
      </c>
      <c r="S57" s="133" t="str">
        <f>'ADU-50'!$B$9</f>
        <v>Formation à l'éco-conduite</v>
      </c>
      <c r="U57" s="386"/>
    </row>
    <row r="58" spans="2:21" x14ac:dyDescent="0.25">
      <c r="B58" s="369" t="s">
        <v>99</v>
      </c>
      <c r="C58" s="384">
        <f>'ADU-24'!$E$42</f>
        <v>0</v>
      </c>
      <c r="D58" s="384"/>
      <c r="E58" s="384"/>
      <c r="F58" s="384"/>
      <c r="G58" s="384"/>
      <c r="H58" s="384"/>
      <c r="I58" s="384"/>
      <c r="J58" s="384"/>
      <c r="K58" s="384"/>
      <c r="L58" s="384"/>
      <c r="M58" s="384"/>
      <c r="N58" s="384"/>
      <c r="O58" s="385">
        <f t="shared" si="2"/>
        <v>0</v>
      </c>
      <c r="P58" s="385">
        <f t="shared" si="3"/>
        <v>0</v>
      </c>
      <c r="S58" s="133" t="str">
        <f>'ADU-51'!$B$9</f>
        <v>Covoiturage</v>
      </c>
      <c r="U58" s="386"/>
    </row>
    <row r="59" spans="2:21" x14ac:dyDescent="0.25">
      <c r="B59" s="369" t="s">
        <v>101</v>
      </c>
      <c r="C59" s="384">
        <f>'ADU-25'!$E$42</f>
        <v>0</v>
      </c>
      <c r="D59" s="384"/>
      <c r="E59" s="384"/>
      <c r="F59" s="384"/>
      <c r="G59" s="384"/>
      <c r="H59" s="384"/>
      <c r="I59" s="384"/>
      <c r="J59" s="384"/>
      <c r="K59" s="384"/>
      <c r="L59" s="384"/>
      <c r="M59" s="384"/>
      <c r="N59" s="384"/>
      <c r="O59" s="385">
        <f t="shared" si="2"/>
        <v>0</v>
      </c>
      <c r="P59" s="385">
        <f t="shared" si="3"/>
        <v>0</v>
      </c>
      <c r="S59" s="133" t="str">
        <f>'ADU-52'!$B$9</f>
        <v>Véhicules de service électriques</v>
      </c>
      <c r="U59" s="386"/>
    </row>
    <row r="60" spans="2:21" x14ac:dyDescent="0.25">
      <c r="B60" s="369" t="s">
        <v>190</v>
      </c>
      <c r="C60" s="384">
        <f>'ADU-26'!$E$42</f>
        <v>0</v>
      </c>
      <c r="D60" s="384"/>
      <c r="E60" s="384"/>
      <c r="F60" s="384"/>
      <c r="G60" s="384"/>
      <c r="H60" s="384"/>
      <c r="I60" s="384"/>
      <c r="J60" s="384"/>
      <c r="K60" s="384"/>
      <c r="L60" s="384"/>
      <c r="M60" s="384"/>
      <c r="N60" s="384"/>
      <c r="O60" s="385">
        <f t="shared" si="2"/>
        <v>0</v>
      </c>
      <c r="P60" s="385">
        <f t="shared" si="3"/>
        <v>0</v>
      </c>
      <c r="S60" s="133" t="str">
        <f>'ADU-53'!$B$9</f>
        <v>Voitures électriques</v>
      </c>
      <c r="U60" s="386"/>
    </row>
    <row r="61" spans="2:21" x14ac:dyDescent="0.25">
      <c r="B61" s="369" t="s">
        <v>191</v>
      </c>
      <c r="C61" s="384">
        <f>'ADU-27'!$E$42</f>
        <v>0</v>
      </c>
      <c r="D61" s="384"/>
      <c r="E61" s="384"/>
      <c r="F61" s="384"/>
      <c r="G61" s="384"/>
      <c r="H61" s="384"/>
      <c r="I61" s="384"/>
      <c r="J61" s="384"/>
      <c r="K61" s="384"/>
      <c r="L61" s="384"/>
      <c r="M61" s="384"/>
      <c r="N61" s="384"/>
      <c r="O61" s="385">
        <f t="shared" si="2"/>
        <v>0</v>
      </c>
      <c r="P61" s="385">
        <f t="shared" si="3"/>
        <v>0</v>
      </c>
      <c r="S61" s="133" t="str">
        <f>'ADU-56'!$B$9</f>
        <v>Borne de recharge</v>
      </c>
      <c r="U61" s="386"/>
    </row>
    <row r="62" spans="2:21" x14ac:dyDescent="0.25">
      <c r="B62" s="369" t="s">
        <v>208</v>
      </c>
      <c r="C62" s="384">
        <f>'ADU-28'!$E$42</f>
        <v>0</v>
      </c>
      <c r="D62" s="384"/>
      <c r="E62" s="384"/>
      <c r="F62" s="384"/>
      <c r="G62" s="384"/>
      <c r="H62" s="384"/>
      <c r="I62" s="384"/>
      <c r="J62" s="384"/>
      <c r="K62" s="384"/>
      <c r="L62" s="384"/>
      <c r="M62" s="384"/>
      <c r="N62" s="384"/>
      <c r="O62" s="385">
        <f t="shared" si="2"/>
        <v>0</v>
      </c>
      <c r="P62" s="385">
        <f t="shared" si="3"/>
        <v>0</v>
      </c>
      <c r="S62" s="133" t="str">
        <f>'ADU-55'!$B$9</f>
        <v>Vélos à assistance électrique</v>
      </c>
      <c r="U62" s="386"/>
    </row>
    <row r="63" spans="2:21" x14ac:dyDescent="0.25">
      <c r="B63" s="369" t="s">
        <v>103</v>
      </c>
      <c r="C63" s="384">
        <f>'ADU-30'!$E$42</f>
        <v>0</v>
      </c>
      <c r="D63" s="384"/>
      <c r="E63" s="384"/>
      <c r="F63" s="384"/>
      <c r="G63" s="384"/>
      <c r="H63" s="384"/>
      <c r="I63" s="384"/>
      <c r="J63" s="384"/>
      <c r="K63" s="384"/>
      <c r="L63" s="384"/>
      <c r="M63" s="384"/>
      <c r="N63" s="384"/>
      <c r="O63" s="385">
        <f t="shared" si="2"/>
        <v>0</v>
      </c>
      <c r="P63" s="385">
        <f t="shared" si="3"/>
        <v>0</v>
      </c>
      <c r="S63" s="133" t="str">
        <f>'ADU-16'!$B$9</f>
        <v>Pompes à chaleur GEO</v>
      </c>
      <c r="U63" s="386"/>
    </row>
    <row r="64" spans="2:21" x14ac:dyDescent="0.25">
      <c r="B64" s="369" t="s">
        <v>105</v>
      </c>
      <c r="C64" s="384">
        <f>'ADU-31'!$E$42</f>
        <v>0</v>
      </c>
      <c r="D64" s="384"/>
      <c r="E64" s="384"/>
      <c r="F64" s="384"/>
      <c r="G64" s="384"/>
      <c r="H64" s="384"/>
      <c r="I64" s="384"/>
      <c r="J64" s="384"/>
      <c r="K64" s="384"/>
      <c r="L64" s="384"/>
      <c r="M64" s="384"/>
      <c r="N64" s="384"/>
      <c r="O64" s="385">
        <f t="shared" si="2"/>
        <v>0</v>
      </c>
      <c r="P64" s="385">
        <f t="shared" si="3"/>
        <v>0</v>
      </c>
      <c r="S64" s="133" t="str">
        <f>'ADU-17'!$B$9</f>
        <v>Pompes à chaleur A-A</v>
      </c>
      <c r="U64" s="386"/>
    </row>
    <row r="65" spans="2:21" x14ac:dyDescent="0.25">
      <c r="B65" s="369" t="s">
        <v>112</v>
      </c>
      <c r="C65" s="384">
        <f>'ADU-32'!$E$42</f>
        <v>0</v>
      </c>
      <c r="D65" s="384"/>
      <c r="E65" s="384"/>
      <c r="F65" s="384"/>
      <c r="G65" s="384"/>
      <c r="H65" s="384"/>
      <c r="I65" s="384"/>
      <c r="J65" s="384"/>
      <c r="K65" s="384"/>
      <c r="L65" s="384"/>
      <c r="M65" s="384"/>
      <c r="N65" s="384"/>
      <c r="O65" s="385">
        <f t="shared" si="2"/>
        <v>0</v>
      </c>
      <c r="P65" s="385">
        <f t="shared" si="3"/>
        <v>0</v>
      </c>
      <c r="S65" s="133" t="str">
        <f>'ADU-18'!$B$9</f>
        <v>Pompes à chaleur A-E</v>
      </c>
      <c r="U65" s="386"/>
    </row>
    <row r="66" spans="2:21" x14ac:dyDescent="0.25">
      <c r="B66" s="369" t="s">
        <v>113</v>
      </c>
      <c r="C66" s="384">
        <f>'ADU-33'!$E$42</f>
        <v>0</v>
      </c>
      <c r="D66" s="384"/>
      <c r="E66" s="384"/>
      <c r="F66" s="384"/>
      <c r="G66" s="384"/>
      <c r="H66" s="384"/>
      <c r="I66" s="384"/>
      <c r="J66" s="384"/>
      <c r="K66" s="384"/>
      <c r="L66" s="384"/>
      <c r="M66" s="384"/>
      <c r="N66" s="384"/>
      <c r="O66" s="385">
        <f t="shared" si="2"/>
        <v>0</v>
      </c>
      <c r="P66" s="385">
        <f t="shared" si="3"/>
        <v>0</v>
      </c>
      <c r="S66" s="133" t="str">
        <f>'ADU-19'!$B$9</f>
        <v>Pompes à chaleur A-E pour ECS</v>
      </c>
      <c r="U66" s="386"/>
    </row>
    <row r="67" spans="2:21" x14ac:dyDescent="0.25">
      <c r="B67" s="369" t="s">
        <v>114</v>
      </c>
      <c r="C67" s="384">
        <f>'ADU-34'!$E$42</f>
        <v>0</v>
      </c>
      <c r="D67" s="384"/>
      <c r="E67" s="384"/>
      <c r="F67" s="384"/>
      <c r="G67" s="384"/>
      <c r="H67" s="384"/>
      <c r="I67" s="384"/>
      <c r="J67" s="384"/>
      <c r="K67" s="384"/>
      <c r="L67" s="384"/>
      <c r="M67" s="384"/>
      <c r="N67" s="384"/>
      <c r="O67" s="385">
        <f t="shared" si="2"/>
        <v>0</v>
      </c>
      <c r="P67" s="385">
        <f t="shared" si="3"/>
        <v>0</v>
      </c>
      <c r="S67" s="133" t="str">
        <f>'ADU-121'!$B$9</f>
        <v>Réintroduction de haies vives</v>
      </c>
      <c r="U67" s="386"/>
    </row>
    <row r="68" spans="2:21" x14ac:dyDescent="0.25">
      <c r="B68" s="369" t="s">
        <v>116</v>
      </c>
      <c r="C68" s="384">
        <f>'ADU-35'!$E$42</f>
        <v>0</v>
      </c>
      <c r="D68" s="384"/>
      <c r="E68" s="384"/>
      <c r="F68" s="384"/>
      <c r="G68" s="384"/>
      <c r="H68" s="384"/>
      <c r="I68" s="384"/>
      <c r="J68" s="384"/>
      <c r="K68" s="384"/>
      <c r="L68" s="384"/>
      <c r="M68" s="384"/>
      <c r="N68" s="384"/>
      <c r="O68" s="385">
        <f t="shared" si="2"/>
        <v>0</v>
      </c>
      <c r="P68" s="385">
        <f t="shared" si="3"/>
        <v>0</v>
      </c>
      <c r="S68" s="133" t="str">
        <f>'ADU-122'!$B$9</f>
        <v>Reboisement d'aires non valorisées</v>
      </c>
      <c r="U68" s="386"/>
    </row>
    <row r="69" spans="2:21" x14ac:dyDescent="0.25">
      <c r="B69" s="369" t="s">
        <v>812</v>
      </c>
      <c r="C69" s="384">
        <f>'ADU-50'!$E$42</f>
        <v>0</v>
      </c>
      <c r="D69" s="384"/>
      <c r="E69" s="384"/>
      <c r="F69" s="384"/>
      <c r="G69" s="384"/>
      <c r="H69" s="384"/>
      <c r="I69" s="384"/>
      <c r="J69" s="384"/>
      <c r="K69" s="384"/>
      <c r="L69" s="384"/>
      <c r="M69" s="384"/>
      <c r="N69" s="384"/>
      <c r="O69" s="385">
        <f t="shared" si="2"/>
        <v>0</v>
      </c>
      <c r="P69" s="385">
        <f t="shared" si="3"/>
        <v>0</v>
      </c>
      <c r="S69" s="133" t="str">
        <f>'ADU-123'!$B$9</f>
        <v>Culture de miscanthus</v>
      </c>
      <c r="U69" s="386"/>
    </row>
    <row r="70" spans="2:21" x14ac:dyDescent="0.25">
      <c r="B70" s="369" t="s">
        <v>811</v>
      </c>
      <c r="C70" s="384">
        <f>'ADU-51'!$E$42</f>
        <v>0</v>
      </c>
      <c r="D70" s="384"/>
      <c r="E70" s="384"/>
      <c r="F70" s="384"/>
      <c r="G70" s="384"/>
      <c r="H70" s="384"/>
      <c r="I70" s="384"/>
      <c r="J70" s="384"/>
      <c r="K70" s="384"/>
      <c r="L70" s="384"/>
      <c r="M70" s="384"/>
      <c r="N70" s="384"/>
      <c r="O70" s="385">
        <f t="shared" si="2"/>
        <v>0</v>
      </c>
      <c r="P70" s="385">
        <f t="shared" si="3"/>
        <v>0</v>
      </c>
      <c r="S70" s="133" t="str">
        <f>'ADU-80'!$B$9</f>
        <v>Participation parcs éoliens</v>
      </c>
      <c r="U70" s="386"/>
    </row>
    <row r="71" spans="2:21" x14ac:dyDescent="0.25">
      <c r="B71" s="369" t="s">
        <v>810</v>
      </c>
      <c r="C71" s="384">
        <f>'ADU-52'!$E$42</f>
        <v>0</v>
      </c>
      <c r="D71" s="384"/>
      <c r="E71" s="384"/>
      <c r="F71" s="384"/>
      <c r="G71" s="384"/>
      <c r="H71" s="384"/>
      <c r="I71" s="384"/>
      <c r="J71" s="384"/>
      <c r="K71" s="384"/>
      <c r="L71" s="384"/>
      <c r="M71" s="384"/>
      <c r="N71" s="384"/>
      <c r="O71" s="385">
        <f t="shared" si="2"/>
        <v>0</v>
      </c>
      <c r="P71" s="385">
        <f t="shared" si="3"/>
        <v>0</v>
      </c>
      <c r="S71" s="133" t="str">
        <f>'ADU-124'!$B$9</f>
        <v>Réintroduction de haies vives</v>
      </c>
      <c r="U71" s="386"/>
    </row>
    <row r="72" spans="2:21" x14ac:dyDescent="0.25">
      <c r="B72" s="369" t="s">
        <v>809</v>
      </c>
      <c r="C72" s="384">
        <f>'ADU-53'!$E$42</f>
        <v>0</v>
      </c>
      <c r="D72" s="384"/>
      <c r="E72" s="384"/>
      <c r="F72" s="384"/>
      <c r="G72" s="384"/>
      <c r="H72" s="384"/>
      <c r="I72" s="384"/>
      <c r="J72" s="384"/>
      <c r="K72" s="384"/>
      <c r="L72" s="384"/>
      <c r="M72" s="384"/>
      <c r="N72" s="384"/>
      <c r="O72" s="385">
        <f t="shared" si="2"/>
        <v>0</v>
      </c>
      <c r="P72" s="385">
        <f t="shared" si="3"/>
        <v>0</v>
      </c>
      <c r="S72" s="133" t="str">
        <f>'ADA-8'!$B$9</f>
        <v>Réduction de la pression sur les ressources en eau</v>
      </c>
      <c r="U72" s="386"/>
    </row>
    <row r="73" spans="2:21" x14ac:dyDescent="0.25">
      <c r="B73" s="369" t="s">
        <v>808</v>
      </c>
      <c r="C73" s="384">
        <f>'ADU-54'!$E$42</f>
        <v>0</v>
      </c>
      <c r="D73" s="384"/>
      <c r="E73" s="384"/>
      <c r="F73" s="384"/>
      <c r="G73" s="384"/>
      <c r="H73" s="384"/>
      <c r="I73" s="384"/>
      <c r="J73" s="384"/>
      <c r="K73" s="384"/>
      <c r="L73" s="384"/>
      <c r="M73" s="384"/>
      <c r="N73" s="384"/>
      <c r="O73" s="385">
        <f t="shared" si="2"/>
        <v>0</v>
      </c>
      <c r="P73" s="385">
        <f t="shared" si="3"/>
        <v>0</v>
      </c>
      <c r="S73" s="133" t="str">
        <f>'ADA-2'!$B$9</f>
        <v>Concertation avec le monde agricole</v>
      </c>
      <c r="U73" s="386"/>
    </row>
    <row r="74" spans="2:21" x14ac:dyDescent="0.25">
      <c r="B74" s="369" t="s">
        <v>807</v>
      </c>
      <c r="C74" s="384">
        <f>'ADU-55'!$E$42</f>
        <v>0</v>
      </c>
      <c r="D74" s="384"/>
      <c r="E74" s="384"/>
      <c r="F74" s="384"/>
      <c r="G74" s="384"/>
      <c r="H74" s="384"/>
      <c r="I74" s="384"/>
      <c r="J74" s="384"/>
      <c r="K74" s="384"/>
      <c r="L74" s="384"/>
      <c r="M74" s="384"/>
      <c r="N74" s="384"/>
      <c r="O74" s="385">
        <f t="shared" si="2"/>
        <v>0</v>
      </c>
      <c r="P74" s="385">
        <f t="shared" si="3"/>
        <v>0</v>
      </c>
      <c r="S74" s="133" t="str">
        <f>'ADA-20'!$B$9</f>
        <v>Limitation des coulées de boues</v>
      </c>
      <c r="U74" s="386"/>
    </row>
    <row r="75" spans="2:21" x14ac:dyDescent="0.25">
      <c r="B75" s="369" t="s">
        <v>806</v>
      </c>
      <c r="C75" s="384">
        <f>'ADU-56'!$E$42</f>
        <v>0</v>
      </c>
      <c r="D75" s="384"/>
      <c r="E75" s="384"/>
      <c r="F75" s="384"/>
      <c r="G75" s="384"/>
      <c r="H75" s="384"/>
      <c r="I75" s="384"/>
      <c r="J75" s="384"/>
      <c r="K75" s="384"/>
      <c r="L75" s="384"/>
      <c r="M75" s="384"/>
      <c r="N75" s="384"/>
      <c r="O75" s="385">
        <f t="shared" si="2"/>
        <v>0</v>
      </c>
      <c r="P75" s="385">
        <f t="shared" si="3"/>
        <v>0</v>
      </c>
      <c r="S75" s="133" t="str">
        <f>'ADA-21'!$B$9</f>
        <v xml:space="preserve">Dispositifs pour eaux pluviales </v>
      </c>
      <c r="U75" s="386"/>
    </row>
    <row r="76" spans="2:21" x14ac:dyDescent="0.25">
      <c r="B76" s="369" t="s">
        <v>906</v>
      </c>
      <c r="C76" s="384">
        <f>'ADU-57'!$E$42</f>
        <v>0</v>
      </c>
      <c r="D76" s="384"/>
      <c r="E76" s="384"/>
      <c r="F76" s="384"/>
      <c r="G76" s="384"/>
      <c r="H76" s="384"/>
      <c r="I76" s="384"/>
      <c r="J76" s="384"/>
      <c r="K76" s="384"/>
      <c r="L76" s="384"/>
      <c r="M76" s="384"/>
      <c r="N76" s="384"/>
      <c r="O76" s="385">
        <f t="shared" si="2"/>
        <v>0</v>
      </c>
      <c r="P76" s="385">
        <f t="shared" si="3"/>
        <v>0</v>
      </c>
      <c r="S76" s="133" t="str">
        <f>'ADA-3'!$B$9</f>
        <v>Protection des bâtiments contre les inondations</v>
      </c>
      <c r="U76" s="386"/>
    </row>
    <row r="77" spans="2:21" x14ac:dyDescent="0.25">
      <c r="B77" s="369" t="s">
        <v>923</v>
      </c>
      <c r="C77" s="384">
        <f>'ADU-58'!$E$42</f>
        <v>0</v>
      </c>
      <c r="D77" s="384"/>
      <c r="E77" s="384"/>
      <c r="F77" s="384"/>
      <c r="G77" s="384"/>
      <c r="H77" s="384"/>
      <c r="I77" s="384"/>
      <c r="J77" s="384"/>
      <c r="K77" s="384"/>
      <c r="L77" s="384"/>
      <c r="M77" s="384"/>
      <c r="N77" s="384"/>
      <c r="O77" s="385">
        <f t="shared" si="2"/>
        <v>0</v>
      </c>
      <c r="P77" s="385">
        <f t="shared" si="3"/>
        <v>0</v>
      </c>
      <c r="S77" s="133" t="str">
        <f>'ADA-4'!$B$9</f>
        <v>Protection des lieux publics contre les inondations</v>
      </c>
      <c r="U77" s="386"/>
    </row>
    <row r="78" spans="2:21" x14ac:dyDescent="0.25">
      <c r="B78" s="369" t="s">
        <v>922</v>
      </c>
      <c r="C78" s="384">
        <f>'ADU-59'!$E$42</f>
        <v>0</v>
      </c>
      <c r="D78" s="384"/>
      <c r="E78" s="384"/>
      <c r="F78" s="384"/>
      <c r="G78" s="384"/>
      <c r="H78" s="384"/>
      <c r="I78" s="384"/>
      <c r="J78" s="384"/>
      <c r="K78" s="384"/>
      <c r="L78" s="384"/>
      <c r="M78" s="384"/>
      <c r="N78" s="384"/>
      <c r="O78" s="385">
        <f t="shared" si="2"/>
        <v>0</v>
      </c>
      <c r="P78" s="385">
        <f t="shared" si="3"/>
        <v>0</v>
      </c>
      <c r="S78" s="133" t="str">
        <f>'ADA-5'!$B$9</f>
        <v>Récupération des eaux pluviales</v>
      </c>
      <c r="U78" s="386"/>
    </row>
    <row r="79" spans="2:21" x14ac:dyDescent="0.25">
      <c r="B79" s="369" t="s">
        <v>921</v>
      </c>
      <c r="C79" s="384">
        <f>'ADU-60'!$E$42</f>
        <v>0</v>
      </c>
      <c r="D79" s="384"/>
      <c r="E79" s="384"/>
      <c r="F79" s="384"/>
      <c r="G79" s="384"/>
      <c r="H79" s="384"/>
      <c r="I79" s="384"/>
      <c r="J79" s="384"/>
      <c r="K79" s="384"/>
      <c r="L79" s="384"/>
      <c r="M79" s="384"/>
      <c r="N79" s="384"/>
      <c r="O79" s="385">
        <f t="shared" si="2"/>
        <v>0</v>
      </c>
      <c r="P79" s="385">
        <f t="shared" si="3"/>
        <v>0</v>
      </c>
      <c r="S79" s="133" t="str">
        <f>'ADA-22'!$B$9</f>
        <v>Renforcement du maillage vert</v>
      </c>
      <c r="U79" s="386"/>
    </row>
    <row r="80" spans="2:21" x14ac:dyDescent="0.25">
      <c r="B80" s="369" t="s">
        <v>251</v>
      </c>
      <c r="C80" s="384">
        <f>'ADU-61'!$E$42</f>
        <v>0</v>
      </c>
      <c r="D80" s="384"/>
      <c r="E80" s="384"/>
      <c r="F80" s="384"/>
      <c r="G80" s="384"/>
      <c r="H80" s="384"/>
      <c r="I80" s="384"/>
      <c r="J80" s="384"/>
      <c r="K80" s="384"/>
      <c r="L80" s="384"/>
      <c r="M80" s="384"/>
      <c r="N80" s="384"/>
      <c r="O80" s="385">
        <f t="shared" si="2"/>
        <v>0</v>
      </c>
      <c r="P80" s="385">
        <f t="shared" si="3"/>
        <v>0</v>
      </c>
      <c r="S80" s="133" t="str">
        <f>'ADA-6'!$B$9</f>
        <v>Gestion alternative des eaux pluviales</v>
      </c>
      <c r="U80" s="386"/>
    </row>
    <row r="81" spans="2:21" x14ac:dyDescent="0.25">
      <c r="B81" s="369" t="s">
        <v>1038</v>
      </c>
      <c r="C81" s="384">
        <f>'ADU-62'!$E$42</f>
        <v>0</v>
      </c>
      <c r="D81" s="384"/>
      <c r="E81" s="384"/>
      <c r="F81" s="384"/>
      <c r="G81" s="384"/>
      <c r="H81" s="384"/>
      <c r="I81" s="384"/>
      <c r="J81" s="384"/>
      <c r="K81" s="384"/>
      <c r="L81" s="384"/>
      <c r="M81" s="384"/>
      <c r="N81" s="384"/>
      <c r="O81" s="385">
        <f t="shared" si="2"/>
        <v>0</v>
      </c>
      <c r="P81" s="385">
        <f t="shared" si="3"/>
        <v>0</v>
      </c>
      <c r="S81" s="133" t="str">
        <f>'ADA-7'!$B$9</f>
        <v>Réduction des îlots de chaleur en centre urbain</v>
      </c>
      <c r="U81" s="386"/>
    </row>
    <row r="82" spans="2:21" x14ac:dyDescent="0.25">
      <c r="B82" s="369" t="s">
        <v>1039</v>
      </c>
      <c r="C82" s="384">
        <f>'ADU-63'!$E$42</f>
        <v>0</v>
      </c>
      <c r="D82" s="384"/>
      <c r="E82" s="384"/>
      <c r="F82" s="384"/>
      <c r="G82" s="384"/>
      <c r="H82" s="384"/>
      <c r="I82" s="384"/>
      <c r="J82" s="384"/>
      <c r="K82" s="384"/>
      <c r="L82" s="384"/>
      <c r="M82" s="384"/>
      <c r="N82" s="384"/>
      <c r="O82" s="385">
        <f t="shared" si="2"/>
        <v>0</v>
      </c>
      <c r="P82" s="385">
        <f t="shared" si="3"/>
        <v>0</v>
      </c>
      <c r="S82" s="133" t="str">
        <f>'ADA-8'!$B$9</f>
        <v>Réduction de la pression sur les ressources en eau</v>
      </c>
      <c r="U82" s="386"/>
    </row>
    <row r="83" spans="2:21" x14ac:dyDescent="0.25">
      <c r="B83" s="369" t="s">
        <v>1040</v>
      </c>
      <c r="C83" s="384">
        <f>'ADU-64'!$E$42</f>
        <v>0</v>
      </c>
      <c r="D83" s="384"/>
      <c r="E83" s="384"/>
      <c r="F83" s="384"/>
      <c r="G83" s="384"/>
      <c r="H83" s="384"/>
      <c r="I83" s="384"/>
      <c r="J83" s="384"/>
      <c r="K83" s="384"/>
      <c r="L83" s="384"/>
      <c r="M83" s="384"/>
      <c r="N83" s="384"/>
      <c r="O83" s="385">
        <f t="shared" si="2"/>
        <v>0</v>
      </c>
      <c r="P83" s="385">
        <f t="shared" si="3"/>
        <v>0</v>
      </c>
      <c r="S83" s="133" t="str">
        <f>'ADA-23'!$B$9</f>
        <v>Prévention des incendies de forêt</v>
      </c>
      <c r="U83" s="386"/>
    </row>
    <row r="84" spans="2:21" x14ac:dyDescent="0.25">
      <c r="B84" s="369" t="s">
        <v>1041</v>
      </c>
      <c r="C84" s="384">
        <f>'ADU-65'!$E$42</f>
        <v>0</v>
      </c>
      <c r="D84" s="384"/>
      <c r="E84" s="384"/>
      <c r="F84" s="384"/>
      <c r="G84" s="384"/>
      <c r="H84" s="384"/>
      <c r="I84" s="384"/>
      <c r="J84" s="384"/>
      <c r="K84" s="384"/>
      <c r="L84" s="384"/>
      <c r="M84" s="384"/>
      <c r="N84" s="384"/>
      <c r="O84" s="385">
        <f t="shared" si="2"/>
        <v>0</v>
      </c>
      <c r="P84" s="385">
        <f t="shared" si="3"/>
        <v>0</v>
      </c>
      <c r="S84" s="133" t="str">
        <f>'ADA-9'!$B$9</f>
        <v>Prévention des périodes de sécheresse</v>
      </c>
      <c r="U84" s="386"/>
    </row>
    <row r="85" spans="2:21" x14ac:dyDescent="0.25">
      <c r="B85" s="369" t="s">
        <v>805</v>
      </c>
      <c r="C85" s="384">
        <f>'ADU-70'!$E$42</f>
        <v>0</v>
      </c>
      <c r="D85" s="384"/>
      <c r="E85" s="384"/>
      <c r="F85" s="384"/>
      <c r="G85" s="384"/>
      <c r="H85" s="384"/>
      <c r="I85" s="384"/>
      <c r="J85" s="384"/>
      <c r="K85" s="384"/>
      <c r="L85" s="384"/>
      <c r="M85" s="384"/>
      <c r="N85" s="384"/>
      <c r="O85" s="385">
        <f t="shared" si="2"/>
        <v>0</v>
      </c>
      <c r="P85" s="385">
        <f t="shared" si="3"/>
        <v>0</v>
      </c>
      <c r="S85" s="133" t="str">
        <f>'ADA-10'!$B$9</f>
        <v>Amélioration de la qualité des eaux de surfaces</v>
      </c>
      <c r="U85" s="386"/>
    </row>
    <row r="86" spans="2:21" x14ac:dyDescent="0.25">
      <c r="B86" s="369" t="s">
        <v>804</v>
      </c>
      <c r="C86" s="384">
        <f>'ADU-71'!$E$42</f>
        <v>0</v>
      </c>
      <c r="D86" s="384"/>
      <c r="E86" s="384"/>
      <c r="F86" s="384"/>
      <c r="G86" s="384"/>
      <c r="H86" s="384"/>
      <c r="I86" s="384"/>
      <c r="J86" s="384"/>
      <c r="K86" s="384"/>
      <c r="L86" s="384"/>
      <c r="M86" s="384"/>
      <c r="N86" s="384"/>
      <c r="O86" s="385">
        <f t="shared" si="2"/>
        <v>0</v>
      </c>
      <c r="P86" s="385">
        <f t="shared" si="3"/>
        <v>0</v>
      </c>
      <c r="S86" s="133" t="str">
        <f>'ADA-11'!$B$9</f>
        <v>Régles urbanistiques adaptées au réchauffement climatique</v>
      </c>
      <c r="U86" s="386"/>
    </row>
    <row r="87" spans="2:21" x14ac:dyDescent="0.25">
      <c r="B87" s="369" t="s">
        <v>803</v>
      </c>
      <c r="C87" s="384">
        <f>'ADU-72'!$E$42</f>
        <v>0</v>
      </c>
      <c r="D87" s="384"/>
      <c r="E87" s="384"/>
      <c r="F87" s="384"/>
      <c r="G87" s="384"/>
      <c r="H87" s="384"/>
      <c r="I87" s="384"/>
      <c r="J87" s="384"/>
      <c r="K87" s="384"/>
      <c r="L87" s="384"/>
      <c r="M87" s="384"/>
      <c r="N87" s="384"/>
      <c r="O87" s="385">
        <f t="shared" si="2"/>
        <v>0</v>
      </c>
      <c r="P87" s="385">
        <f t="shared" si="3"/>
        <v>0</v>
      </c>
      <c r="S87" s="133" t="str">
        <f>'ADA-12'!$B$9</f>
        <v>Règles urbanistiques en zones inondables</v>
      </c>
      <c r="U87" s="386"/>
    </row>
    <row r="88" spans="2:21" x14ac:dyDescent="0.25">
      <c r="B88" s="369" t="s">
        <v>802</v>
      </c>
      <c r="C88" s="384">
        <f>'ADU-73'!$E$42</f>
        <v>0</v>
      </c>
      <c r="D88" s="384"/>
      <c r="E88" s="384"/>
      <c r="F88" s="384"/>
      <c r="G88" s="384"/>
      <c r="H88" s="384"/>
      <c r="I88" s="384"/>
      <c r="J88" s="384"/>
      <c r="K88" s="384"/>
      <c r="L88" s="384"/>
      <c r="M88" s="384"/>
      <c r="N88" s="384"/>
      <c r="O88" s="385">
        <f t="shared" si="2"/>
        <v>0</v>
      </c>
      <c r="P88" s="385">
        <f t="shared" si="3"/>
        <v>0</v>
      </c>
      <c r="S88" s="133" t="str">
        <f>'ADA-13'!$B$9</f>
        <v>Autonomie énergétique des bâtiments publics</v>
      </c>
      <c r="U88" s="386"/>
    </row>
    <row r="89" spans="2:21" x14ac:dyDescent="0.25">
      <c r="B89" s="369" t="s">
        <v>801</v>
      </c>
      <c r="C89" s="384">
        <f>'ADU-74'!$E$42</f>
        <v>0</v>
      </c>
      <c r="D89" s="384"/>
      <c r="E89" s="384"/>
      <c r="F89" s="384"/>
      <c r="G89" s="384"/>
      <c r="H89" s="384"/>
      <c r="I89" s="384"/>
      <c r="J89" s="384"/>
      <c r="K89" s="384"/>
      <c r="L89" s="384"/>
      <c r="M89" s="384"/>
      <c r="N89" s="384"/>
      <c r="O89" s="385">
        <f t="shared" ref="O89:O111" si="4">SUM(C89:N89)</f>
        <v>0</v>
      </c>
      <c r="P89" s="385">
        <f t="shared" ref="P89:P111" si="5">AVERAGE(C89:N89)</f>
        <v>0</v>
      </c>
      <c r="S89" s="133" t="str">
        <f>'ADA-13'!$B$9</f>
        <v>Autonomie énergétique des bâtiments publics</v>
      </c>
      <c r="U89" s="386"/>
    </row>
    <row r="90" spans="2:21" x14ac:dyDescent="0.25">
      <c r="B90" s="369" t="s">
        <v>800</v>
      </c>
      <c r="C90" s="384">
        <f>'ADU-75'!$E$42</f>
        <v>0</v>
      </c>
      <c r="D90" s="384"/>
      <c r="E90" s="384"/>
      <c r="F90" s="384"/>
      <c r="G90" s="384"/>
      <c r="H90" s="384"/>
      <c r="I90" s="384"/>
      <c r="J90" s="384"/>
      <c r="K90" s="384"/>
      <c r="L90" s="384"/>
      <c r="M90" s="384"/>
      <c r="N90" s="384"/>
      <c r="O90" s="385">
        <f t="shared" si="4"/>
        <v>0</v>
      </c>
      <c r="P90" s="385">
        <f t="shared" si="5"/>
        <v>0</v>
      </c>
      <c r="S90" s="133" t="str">
        <f>'ADA-13'!$B$9</f>
        <v>Autonomie énergétique des bâtiments publics</v>
      </c>
      <c r="U90" s="386"/>
    </row>
    <row r="91" spans="2:21" x14ac:dyDescent="0.25">
      <c r="B91" s="369" t="s">
        <v>799</v>
      </c>
      <c r="C91" s="384">
        <f>'ADU-76'!$E$42</f>
        <v>0</v>
      </c>
      <c r="D91" s="384"/>
      <c r="E91" s="384"/>
      <c r="F91" s="384"/>
      <c r="G91" s="384"/>
      <c r="H91" s="384"/>
      <c r="I91" s="384"/>
      <c r="J91" s="384"/>
      <c r="K91" s="384"/>
      <c r="L91" s="384"/>
      <c r="M91" s="384"/>
      <c r="N91" s="384"/>
      <c r="O91" s="385">
        <f t="shared" si="4"/>
        <v>0</v>
      </c>
      <c r="P91" s="385">
        <f t="shared" si="5"/>
        <v>0</v>
      </c>
      <c r="S91" s="133" t="str">
        <f>'ADA-13'!$B$9</f>
        <v>Autonomie énergétique des bâtiments publics</v>
      </c>
      <c r="U91" s="386"/>
    </row>
    <row r="92" spans="2:21" x14ac:dyDescent="0.25">
      <c r="B92" s="369" t="s">
        <v>844</v>
      </c>
      <c r="C92" s="384">
        <f>'ADU-77'!$E$42</f>
        <v>0</v>
      </c>
      <c r="D92" s="384"/>
      <c r="E92" s="384"/>
      <c r="F92" s="384"/>
      <c r="G92" s="384"/>
      <c r="H92" s="384"/>
      <c r="I92" s="384"/>
      <c r="J92" s="384"/>
      <c r="K92" s="384"/>
      <c r="L92" s="384"/>
      <c r="M92" s="384"/>
      <c r="N92" s="384"/>
      <c r="O92" s="385">
        <f t="shared" si="4"/>
        <v>0</v>
      </c>
      <c r="P92" s="385">
        <f t="shared" si="5"/>
        <v>0</v>
      </c>
      <c r="S92" s="133" t="str">
        <f>'ADA-13'!$B$9</f>
        <v>Autonomie énergétique des bâtiments publics</v>
      </c>
      <c r="U92" s="386"/>
    </row>
    <row r="93" spans="2:21" x14ac:dyDescent="0.25">
      <c r="B93" s="369" t="s">
        <v>798</v>
      </c>
      <c r="C93" s="384">
        <f>'ADU-80'!$E$42</f>
        <v>0</v>
      </c>
      <c r="D93" s="384"/>
      <c r="E93" s="384"/>
      <c r="F93" s="384"/>
      <c r="G93" s="384"/>
      <c r="H93" s="384"/>
      <c r="I93" s="384"/>
      <c r="J93" s="384"/>
      <c r="K93" s="384"/>
      <c r="L93" s="384"/>
      <c r="M93" s="384"/>
      <c r="N93" s="384"/>
      <c r="O93" s="385">
        <f t="shared" si="4"/>
        <v>0</v>
      </c>
      <c r="P93" s="385">
        <f t="shared" si="5"/>
        <v>0</v>
      </c>
      <c r="S93" s="133" t="str">
        <f>'ADA-13'!$B$9</f>
        <v>Autonomie énergétique des bâtiments publics</v>
      </c>
      <c r="U93" s="386"/>
    </row>
    <row r="94" spans="2:21" x14ac:dyDescent="0.25">
      <c r="B94" s="369" t="s">
        <v>797</v>
      </c>
      <c r="C94" s="384">
        <f>'ADU-81'!$E$42</f>
        <v>0</v>
      </c>
      <c r="D94" s="384"/>
      <c r="E94" s="384"/>
      <c r="F94" s="384"/>
      <c r="G94" s="384"/>
      <c r="H94" s="384"/>
      <c r="I94" s="384"/>
      <c r="J94" s="384"/>
      <c r="K94" s="384"/>
      <c r="L94" s="384"/>
      <c r="M94" s="384"/>
      <c r="N94" s="384"/>
      <c r="O94" s="385">
        <f t="shared" si="4"/>
        <v>0</v>
      </c>
      <c r="P94" s="385">
        <f t="shared" si="5"/>
        <v>0</v>
      </c>
      <c r="S94" s="133" t="str">
        <f>'ADA-13'!$B$9</f>
        <v>Autonomie énergétique des bâtiments publics</v>
      </c>
      <c r="U94" s="386"/>
    </row>
    <row r="95" spans="2:21" x14ac:dyDescent="0.25">
      <c r="B95" s="369" t="s">
        <v>796</v>
      </c>
      <c r="C95" s="384">
        <f>'ADU-82'!$E$42</f>
        <v>0</v>
      </c>
      <c r="D95" s="384"/>
      <c r="E95" s="384"/>
      <c r="F95" s="384"/>
      <c r="G95" s="384"/>
      <c r="H95" s="384"/>
      <c r="I95" s="384"/>
      <c r="J95" s="384"/>
      <c r="K95" s="384"/>
      <c r="L95" s="384"/>
      <c r="M95" s="384"/>
      <c r="N95" s="384"/>
      <c r="O95" s="385">
        <f t="shared" si="4"/>
        <v>0</v>
      </c>
      <c r="P95" s="385">
        <f t="shared" si="5"/>
        <v>0</v>
      </c>
      <c r="S95" s="133" t="str">
        <f>'ADA-13'!$B$9</f>
        <v>Autonomie énergétique des bâtiments publics</v>
      </c>
      <c r="U95" s="386"/>
    </row>
    <row r="96" spans="2:21" x14ac:dyDescent="0.25">
      <c r="B96" s="369" t="s">
        <v>841</v>
      </c>
      <c r="C96" s="384">
        <f>'ADU-83'!$E$42</f>
        <v>0</v>
      </c>
      <c r="D96" s="384"/>
      <c r="E96" s="384"/>
      <c r="F96" s="384"/>
      <c r="G96" s="384"/>
      <c r="H96" s="384"/>
      <c r="I96" s="384"/>
      <c r="J96" s="384"/>
      <c r="K96" s="384"/>
      <c r="L96" s="384"/>
      <c r="M96" s="384"/>
      <c r="N96" s="384"/>
      <c r="O96" s="385">
        <f t="shared" si="4"/>
        <v>0</v>
      </c>
      <c r="P96" s="385">
        <f t="shared" si="5"/>
        <v>0</v>
      </c>
      <c r="S96" s="133" t="str">
        <f>'ADA-13'!$B$9</f>
        <v>Autonomie énergétique des bâtiments publics</v>
      </c>
      <c r="U96" s="386"/>
    </row>
    <row r="97" spans="2:21" x14ac:dyDescent="0.25">
      <c r="B97" s="369" t="s">
        <v>795</v>
      </c>
      <c r="C97" s="384">
        <f>'ADU-90'!$E$42</f>
        <v>0</v>
      </c>
      <c r="D97" s="384"/>
      <c r="E97" s="384"/>
      <c r="F97" s="384"/>
      <c r="G97" s="384"/>
      <c r="H97" s="384"/>
      <c r="I97" s="384"/>
      <c r="J97" s="384"/>
      <c r="K97" s="384"/>
      <c r="L97" s="384"/>
      <c r="M97" s="384"/>
      <c r="N97" s="384"/>
      <c r="O97" s="385">
        <f t="shared" si="4"/>
        <v>0</v>
      </c>
      <c r="P97" s="385">
        <f t="shared" si="5"/>
        <v>0</v>
      </c>
      <c r="S97" s="133" t="str">
        <f>'ADA-13'!$B$9</f>
        <v>Autonomie énergétique des bâtiments publics</v>
      </c>
      <c r="U97" s="386"/>
    </row>
    <row r="98" spans="2:21" x14ac:dyDescent="0.25">
      <c r="B98" s="369" t="s">
        <v>794</v>
      </c>
      <c r="C98" s="384">
        <f>'ADU-91'!$E$42</f>
        <v>0</v>
      </c>
      <c r="D98" s="384"/>
      <c r="E98" s="384"/>
      <c r="F98" s="384"/>
      <c r="G98" s="384"/>
      <c r="H98" s="384"/>
      <c r="I98" s="384"/>
      <c r="J98" s="384"/>
      <c r="K98" s="384"/>
      <c r="L98" s="384"/>
      <c r="M98" s="384"/>
      <c r="N98" s="384"/>
      <c r="O98" s="385">
        <f t="shared" si="4"/>
        <v>0</v>
      </c>
      <c r="P98" s="385">
        <f t="shared" si="5"/>
        <v>0</v>
      </c>
      <c r="S98" s="133" t="str">
        <f>'ADA-13'!$B$9</f>
        <v>Autonomie énergétique des bâtiments publics</v>
      </c>
      <c r="U98" s="386"/>
    </row>
    <row r="99" spans="2:21" x14ac:dyDescent="0.25">
      <c r="B99" s="369" t="s">
        <v>793</v>
      </c>
      <c r="C99" s="384">
        <f>'ADU-92'!$E$42</f>
        <v>0</v>
      </c>
      <c r="D99" s="384"/>
      <c r="E99" s="384"/>
      <c r="F99" s="384"/>
      <c r="G99" s="384"/>
      <c r="H99" s="384"/>
      <c r="I99" s="384"/>
      <c r="J99" s="384"/>
      <c r="K99" s="384"/>
      <c r="L99" s="384"/>
      <c r="M99" s="384"/>
      <c r="N99" s="384"/>
      <c r="O99" s="385">
        <f t="shared" si="4"/>
        <v>0</v>
      </c>
      <c r="P99" s="385">
        <f t="shared" si="5"/>
        <v>0</v>
      </c>
      <c r="S99" s="133" t="str">
        <f>'ADA-13'!$B$9</f>
        <v>Autonomie énergétique des bâtiments publics</v>
      </c>
      <c r="U99" s="386"/>
    </row>
    <row r="100" spans="2:21" x14ac:dyDescent="0.25">
      <c r="B100" s="369" t="s">
        <v>902</v>
      </c>
      <c r="C100" s="384">
        <f>'ADU-93'!$E$42</f>
        <v>0</v>
      </c>
      <c r="D100" s="384"/>
      <c r="E100" s="384"/>
      <c r="F100" s="384"/>
      <c r="G100" s="384"/>
      <c r="H100" s="384"/>
      <c r="I100" s="384"/>
      <c r="J100" s="384"/>
      <c r="K100" s="384"/>
      <c r="L100" s="384"/>
      <c r="M100" s="384"/>
      <c r="N100" s="384"/>
      <c r="O100" s="385">
        <f t="shared" si="4"/>
        <v>0</v>
      </c>
      <c r="P100" s="385">
        <f t="shared" si="5"/>
        <v>0</v>
      </c>
      <c r="S100" s="133" t="str">
        <f>'ADA-13'!$B$9</f>
        <v>Autonomie énergétique des bâtiments publics</v>
      </c>
      <c r="U100" s="386"/>
    </row>
    <row r="101" spans="2:21" x14ac:dyDescent="0.25">
      <c r="B101" s="369" t="s">
        <v>903</v>
      </c>
      <c r="C101" s="384">
        <f>'ADU-94'!$E$42</f>
        <v>0</v>
      </c>
      <c r="D101" s="384"/>
      <c r="E101" s="384"/>
      <c r="F101" s="384"/>
      <c r="G101" s="384"/>
      <c r="H101" s="384"/>
      <c r="I101" s="384"/>
      <c r="J101" s="384"/>
      <c r="K101" s="384"/>
      <c r="L101" s="384"/>
      <c r="M101" s="384"/>
      <c r="N101" s="384"/>
      <c r="O101" s="385">
        <f t="shared" si="4"/>
        <v>0</v>
      </c>
      <c r="P101" s="385">
        <f t="shared" si="5"/>
        <v>0</v>
      </c>
      <c r="S101" s="133" t="str">
        <f>'ADA-13'!$B$9</f>
        <v>Autonomie énergétique des bâtiments publics</v>
      </c>
      <c r="U101" s="386"/>
    </row>
    <row r="102" spans="2:21" x14ac:dyDescent="0.25">
      <c r="B102" s="369" t="s">
        <v>904</v>
      </c>
      <c r="C102" s="384">
        <f>'ADU-95'!$E$42</f>
        <v>0</v>
      </c>
      <c r="D102" s="384"/>
      <c r="E102" s="384"/>
      <c r="F102" s="384"/>
      <c r="G102" s="384"/>
      <c r="H102" s="384"/>
      <c r="I102" s="384"/>
      <c r="J102" s="384"/>
      <c r="K102" s="384"/>
      <c r="L102" s="384"/>
      <c r="M102" s="384"/>
      <c r="N102" s="384"/>
      <c r="O102" s="385">
        <f t="shared" si="4"/>
        <v>0</v>
      </c>
      <c r="P102" s="385">
        <f t="shared" si="5"/>
        <v>0</v>
      </c>
      <c r="S102" s="133" t="str">
        <f>'ADA-13'!$B$9</f>
        <v>Autonomie énergétique des bâtiments publics</v>
      </c>
      <c r="U102" s="386"/>
    </row>
    <row r="103" spans="2:21" x14ac:dyDescent="0.25">
      <c r="B103" s="369" t="s">
        <v>792</v>
      </c>
      <c r="C103" s="384">
        <f>'ADU-100'!$E$42</f>
        <v>0</v>
      </c>
      <c r="D103" s="384"/>
      <c r="E103" s="384"/>
      <c r="F103" s="384"/>
      <c r="G103" s="384"/>
      <c r="H103" s="384"/>
      <c r="I103" s="384"/>
      <c r="J103" s="384"/>
      <c r="K103" s="384"/>
      <c r="L103" s="384"/>
      <c r="M103" s="384"/>
      <c r="N103" s="384"/>
      <c r="O103" s="385">
        <f t="shared" si="4"/>
        <v>0</v>
      </c>
      <c r="P103" s="385">
        <f t="shared" si="5"/>
        <v>0</v>
      </c>
      <c r="S103" s="133" t="str">
        <f>'ADA-13'!$B$9</f>
        <v>Autonomie énergétique des bâtiments publics</v>
      </c>
      <c r="U103" s="386"/>
    </row>
    <row r="104" spans="2:21" x14ac:dyDescent="0.25">
      <c r="B104" s="369" t="s">
        <v>791</v>
      </c>
      <c r="C104" s="384">
        <f>'ADU-101'!$E$42</f>
        <v>0</v>
      </c>
      <c r="D104" s="384"/>
      <c r="E104" s="384"/>
      <c r="F104" s="384"/>
      <c r="G104" s="384"/>
      <c r="H104" s="384"/>
      <c r="I104" s="384"/>
      <c r="J104" s="384"/>
      <c r="K104" s="384"/>
      <c r="L104" s="384"/>
      <c r="M104" s="384"/>
      <c r="N104" s="384"/>
      <c r="O104" s="385">
        <f t="shared" si="4"/>
        <v>0</v>
      </c>
      <c r="P104" s="385">
        <f t="shared" si="5"/>
        <v>0</v>
      </c>
      <c r="S104" s="133" t="str">
        <f>'ADA-13'!$B$9</f>
        <v>Autonomie énergétique des bâtiments publics</v>
      </c>
      <c r="U104" s="386"/>
    </row>
    <row r="105" spans="2:21" x14ac:dyDescent="0.25">
      <c r="B105" s="369" t="s">
        <v>790</v>
      </c>
      <c r="C105" s="384">
        <f>'ADU-102'!$E$42</f>
        <v>0</v>
      </c>
      <c r="D105" s="384"/>
      <c r="E105" s="384"/>
      <c r="F105" s="384"/>
      <c r="G105" s="384"/>
      <c r="H105" s="384"/>
      <c r="I105" s="384"/>
      <c r="J105" s="384"/>
      <c r="K105" s="384"/>
      <c r="L105" s="384"/>
      <c r="M105" s="384"/>
      <c r="N105" s="384"/>
      <c r="O105" s="385">
        <f t="shared" si="4"/>
        <v>0</v>
      </c>
      <c r="P105" s="385">
        <f t="shared" si="5"/>
        <v>0</v>
      </c>
      <c r="S105" s="133" t="str">
        <f>'ADA-13'!$B$9</f>
        <v>Autonomie énergétique des bâtiments publics</v>
      </c>
      <c r="U105" s="386"/>
    </row>
    <row r="106" spans="2:21" x14ac:dyDescent="0.25">
      <c r="B106" s="369" t="s">
        <v>849</v>
      </c>
      <c r="C106" s="384">
        <f>'ADU-103'!$E$42</f>
        <v>0</v>
      </c>
      <c r="D106" s="384"/>
      <c r="E106" s="384"/>
      <c r="F106" s="384"/>
      <c r="G106" s="384"/>
      <c r="H106" s="384"/>
      <c r="I106" s="384"/>
      <c r="J106" s="384"/>
      <c r="K106" s="384"/>
      <c r="L106" s="384"/>
      <c r="M106" s="384"/>
      <c r="N106" s="384"/>
      <c r="O106" s="385">
        <f t="shared" si="4"/>
        <v>0</v>
      </c>
      <c r="P106" s="385">
        <f t="shared" si="5"/>
        <v>0</v>
      </c>
      <c r="S106" s="133" t="str">
        <f>'ADA-13'!$B$9</f>
        <v>Autonomie énergétique des bâtiments publics</v>
      </c>
      <c r="U106" s="386"/>
    </row>
    <row r="107" spans="2:21" x14ac:dyDescent="0.25">
      <c r="B107" s="369" t="s">
        <v>789</v>
      </c>
      <c r="C107" s="384">
        <f>'ADU-121'!$E$42</f>
        <v>0</v>
      </c>
      <c r="D107" s="384"/>
      <c r="E107" s="384"/>
      <c r="F107" s="384"/>
      <c r="G107" s="384"/>
      <c r="H107" s="384"/>
      <c r="I107" s="384"/>
      <c r="J107" s="384"/>
      <c r="K107" s="384"/>
      <c r="L107" s="384"/>
      <c r="M107" s="384"/>
      <c r="N107" s="384"/>
      <c r="O107" s="385">
        <f t="shared" si="4"/>
        <v>0</v>
      </c>
      <c r="P107" s="385">
        <f t="shared" si="5"/>
        <v>0</v>
      </c>
      <c r="S107" s="133" t="str">
        <f>'ADA-13'!$B$9</f>
        <v>Autonomie énergétique des bâtiments publics</v>
      </c>
      <c r="U107" s="386"/>
    </row>
    <row r="108" spans="2:21" x14ac:dyDescent="0.25">
      <c r="B108" s="369" t="s">
        <v>788</v>
      </c>
      <c r="C108" s="384">
        <f>'ADU-122'!$E$42</f>
        <v>0</v>
      </c>
      <c r="D108" s="384"/>
      <c r="E108" s="384"/>
      <c r="F108" s="384"/>
      <c r="G108" s="384"/>
      <c r="H108" s="384"/>
      <c r="I108" s="384"/>
      <c r="J108" s="384"/>
      <c r="K108" s="384"/>
      <c r="L108" s="384"/>
      <c r="M108" s="384"/>
      <c r="N108" s="384"/>
      <c r="O108" s="385">
        <f t="shared" si="4"/>
        <v>0</v>
      </c>
      <c r="P108" s="385">
        <f t="shared" si="5"/>
        <v>0</v>
      </c>
      <c r="S108" s="133" t="str">
        <f>'ADA-13'!$B$9</f>
        <v>Autonomie énergétique des bâtiments publics</v>
      </c>
      <c r="U108" s="386"/>
    </row>
    <row r="109" spans="2:21" x14ac:dyDescent="0.25">
      <c r="B109" s="369" t="s">
        <v>787</v>
      </c>
      <c r="C109" s="384">
        <f>'ADU-123'!$E$42</f>
        <v>0</v>
      </c>
      <c r="D109" s="384"/>
      <c r="E109" s="384"/>
      <c r="F109" s="384"/>
      <c r="G109" s="384"/>
      <c r="H109" s="384"/>
      <c r="I109" s="384"/>
      <c r="J109" s="384"/>
      <c r="K109" s="384"/>
      <c r="L109" s="384"/>
      <c r="M109" s="384"/>
      <c r="N109" s="384"/>
      <c r="O109" s="385">
        <f t="shared" si="4"/>
        <v>0</v>
      </c>
      <c r="P109" s="385">
        <f t="shared" si="5"/>
        <v>0</v>
      </c>
      <c r="S109" s="133" t="str">
        <f>'ADA-13'!$B$9</f>
        <v>Autonomie énergétique des bâtiments publics</v>
      </c>
      <c r="U109" s="386"/>
    </row>
    <row r="110" spans="2:21" x14ac:dyDescent="0.25">
      <c r="B110" s="369" t="s">
        <v>786</v>
      </c>
      <c r="C110" s="384">
        <f>'ADU-124'!$E$42</f>
        <v>0</v>
      </c>
      <c r="D110" s="384"/>
      <c r="E110" s="384"/>
      <c r="F110" s="384"/>
      <c r="G110" s="384"/>
      <c r="H110" s="384"/>
      <c r="I110" s="384"/>
      <c r="J110" s="384"/>
      <c r="K110" s="384"/>
      <c r="L110" s="384"/>
      <c r="M110" s="384"/>
      <c r="N110" s="384"/>
      <c r="O110" s="385">
        <f t="shared" si="4"/>
        <v>0</v>
      </c>
      <c r="P110" s="385">
        <f t="shared" si="5"/>
        <v>0</v>
      </c>
      <c r="S110" s="133" t="str">
        <f>'ADA-13'!$B$9</f>
        <v>Autonomie énergétique des bâtiments publics</v>
      </c>
      <c r="U110" s="386"/>
    </row>
    <row r="111" spans="2:21" x14ac:dyDescent="0.25">
      <c r="B111" s="369" t="s">
        <v>785</v>
      </c>
      <c r="C111" s="384">
        <f>'ADU-140'!$E$42</f>
        <v>0</v>
      </c>
      <c r="D111" s="384"/>
      <c r="E111" s="384"/>
      <c r="F111" s="384"/>
      <c r="G111" s="384"/>
      <c r="H111" s="384"/>
      <c r="I111" s="384"/>
      <c r="J111" s="384"/>
      <c r="K111" s="384"/>
      <c r="L111" s="384"/>
      <c r="M111" s="384"/>
      <c r="N111" s="384"/>
      <c r="O111" s="385">
        <f t="shared" si="4"/>
        <v>0</v>
      </c>
      <c r="P111" s="385">
        <f t="shared" si="5"/>
        <v>0</v>
      </c>
      <c r="S111" s="133" t="str">
        <f>'ADA-13'!$B$9</f>
        <v>Autonomie énergétique des bâtiments publics</v>
      </c>
      <c r="U111" s="386"/>
    </row>
  </sheetData>
  <mergeCells count="1">
    <mergeCell ref="C1:N1"/>
  </mergeCells>
  <hyperlinks>
    <hyperlink ref="B4" location="'ADO-1'!A1" display="ADO-1"/>
    <hyperlink ref="B5" location="'ADO-2'!A1" display="ADO-2"/>
    <hyperlink ref="B6" location="'ADO-3'!A1" display="'ADO-3'!A1"/>
    <hyperlink ref="B7" location="'ADO-4'!A1" display="'ADO-4'!A1"/>
    <hyperlink ref="B8" location="'ADO-5'!A1" display="ADO-5"/>
    <hyperlink ref="B9" location="'ADO-6'!A1" display="ADO-6"/>
    <hyperlink ref="B15" location="'ADO-20'!A1" display="ADO-20"/>
    <hyperlink ref="B16:B23" location="'ADO-7'!A1" display="'ADO-7'!A1"/>
    <hyperlink ref="B16" location="'ADO-21'!A1" display="ADO-21"/>
    <hyperlink ref="B17" location="'ADO-22'!A1" display="ADO-22"/>
    <hyperlink ref="B18" location="'ADO-23'!A1" display="ADO-23"/>
    <hyperlink ref="B19" location="'ADO-24'!A1" display="ADO-24"/>
    <hyperlink ref="B20" location="'ADO-25'!A1" display="ADO-25"/>
    <hyperlink ref="B21" location="'ADO-26'!A1" display="ADO-26"/>
    <hyperlink ref="B22" location="'ADO-27'!A1" display="ADO-27"/>
    <hyperlink ref="B23" location="'ADO-28'!A1" display="ADO-28"/>
    <hyperlink ref="B33" location="'ADO-40'!A1" display="ADO-40"/>
    <hyperlink ref="B34" location="'ADO-41'!A1" display="ADO-41"/>
    <hyperlink ref="B35" location="'ADU-1'!A1" display="ADU-1"/>
    <hyperlink ref="B36" location="'ADU-2'!A1" display="'ADU-2'!A1"/>
    <hyperlink ref="B37" location="'ADU-3'!A1" display="ADU-3"/>
    <hyperlink ref="B38" location="'ADU-4'!A1" display="ADU-4"/>
    <hyperlink ref="B41" location="'ADU-7'!A1" display="ADU-7"/>
    <hyperlink ref="B44" location="'ADU-10'!A1" display="ADU-10"/>
    <hyperlink ref="B39" location="'ADU-5'!A1" display="ADU-5"/>
    <hyperlink ref="B42" location="'ADU-8'!A1" display="ADU-8"/>
    <hyperlink ref="B40" location="'ADU-6'!A1" display="ADU-6"/>
    <hyperlink ref="B43" location="'ADU-9'!A1" display="ADU-9"/>
    <hyperlink ref="B45" location="'ADU-11'!A1" display="ADU-11"/>
    <hyperlink ref="B46" location="'ADU-12'!A1" display="ADU-12"/>
    <hyperlink ref="B47" location="'ADU-13'!A1" display="ADU-13"/>
    <hyperlink ref="B48" location="'ADU-14'!A1" display="ADU-14"/>
    <hyperlink ref="B49" location="'ADU-15'!A1" display="ADU-15"/>
    <hyperlink ref="B50" location="'ADU-16'!A1" display="ADU-16"/>
    <hyperlink ref="B51" location="'ADU-17'!A1" display="ADU-17"/>
    <hyperlink ref="B52" location="'ADU-18'!A1" display="ADU-18"/>
    <hyperlink ref="B53" location="'ADU-19'!A1" display="ADU-19"/>
    <hyperlink ref="B54" location="'ADU-20'!A1" display="ADU-20"/>
    <hyperlink ref="B55" location="'ADU-21'!A1" display="ADU-21"/>
    <hyperlink ref="B56:B58" location="'ADU-21'!A1" display="'ADU-21'!A1"/>
    <hyperlink ref="B56" location="'ADU-22'!A1" display="ADU-22"/>
    <hyperlink ref="B57" location="'ADU-23'!A1" display="ADU-23"/>
    <hyperlink ref="B58" location="'ADU-24'!A1" display="ADU-24"/>
    <hyperlink ref="B69" location="'ADU-50'!A1" display="ADU-50"/>
    <hyperlink ref="B70" location="'ADU-51'!A1" display="ADU-51"/>
    <hyperlink ref="B71" location="'ADU-52'!A1" display="ADU-52"/>
    <hyperlink ref="B72" location="'ADU-53'!A1" display="ADU-53"/>
    <hyperlink ref="B73" location="'ADU-54'!A1" display="ADU-54"/>
    <hyperlink ref="B74" location="'ADU-55'!A1" display="ADU-55"/>
    <hyperlink ref="B75" location="'ADU-56'!A1" display="ADU-56"/>
    <hyperlink ref="B85" location="'ADU-70'!A1" display="ADU-70"/>
    <hyperlink ref="B86" location="'ADU-71'!A1" display="ADU-71"/>
    <hyperlink ref="B87" location="'ADU-72'!A1" display="ADU-72"/>
    <hyperlink ref="B88" location="'ADU-73'!A1" display="ADU-73"/>
    <hyperlink ref="B89" location="'ADU-74'!A1" display="ADU-74"/>
    <hyperlink ref="B90" location="'ADU-75'!A1" display="ADU-75"/>
    <hyperlink ref="B91" location="'ADU-76'!A1" display="ADU-76"/>
    <hyperlink ref="B93" location="'ADU-80'!A1" display="ADU-80"/>
    <hyperlink ref="B94" location="'ADU-81'!A1" display="ADU-81"/>
    <hyperlink ref="B95" location="'ADU-82'!A1" display="ADU-82"/>
    <hyperlink ref="B97" location="'ADU-90'!A1" display="ADU-90"/>
    <hyperlink ref="B98" location="'ADU-91'!A1" display="ADU-91"/>
    <hyperlink ref="B99" location="'ADU-92'!A1" display="ADU-92"/>
    <hyperlink ref="B103" location="'ADU-100'!A1" display="ADU-100"/>
    <hyperlink ref="B104" location="'ADU-101'!A1" display="ADU-101"/>
    <hyperlink ref="B105" location="'ADU-102'!A1" display="ADU-102"/>
    <hyperlink ref="B107" location="'ADU-121'!A1" display="ADU-121"/>
    <hyperlink ref="B108" location="'ADU-122'!A1" display="ADU-122"/>
    <hyperlink ref="B109" location="'ADU-123'!A1" display="ADU-123"/>
    <hyperlink ref="B110" location="'ADU-124'!A1" display="ADU-124"/>
    <hyperlink ref="B111" location="'ADU-140'!A1" display="ADU-140"/>
    <hyperlink ref="B63" location="'ADU-30'!A1" display="ADU-30"/>
    <hyperlink ref="B64" location="'ADU-31'!A1" display="ADU-31"/>
    <hyperlink ref="B65" location="'ADU-32'!A1" display="ADU-32"/>
    <hyperlink ref="B66" location="'ADU-33'!A1" display="ADU-33"/>
    <hyperlink ref="B96" location="'ADU-83'!A1" display="ADU-83"/>
    <hyperlink ref="B92" location="'ADU-77'!A1" display="ADU-77"/>
    <hyperlink ref="B10" location="'ADO-7'!A1" display="ADO-7"/>
    <hyperlink ref="B11" location="'ADO-8'!A1" display="ADO-8"/>
    <hyperlink ref="B12" location="'ADO-9'!A1" display="ADO-9"/>
    <hyperlink ref="B24" location="'ADO-29'!A1" display="ADO-29"/>
    <hyperlink ref="B25" location="'ADO-30'!A1" display="ADO-30"/>
    <hyperlink ref="B26" location="'ADO-31'!A1" display="ADO-31"/>
    <hyperlink ref="B27" location="'ADO-32'!A1" display="ADO-32"/>
    <hyperlink ref="B28" location="'ADO-33'!A1" display="ADO-33"/>
    <hyperlink ref="B106" location="'ADU-103'!A1" display="ADU-103"/>
    <hyperlink ref="B59" location="'ADU-25'!A1" display="ADU-25"/>
    <hyperlink ref="B100" location="'ADU-93'!A1" display="ADU-93"/>
    <hyperlink ref="B101" location="'ADU-94'!A1" display="ADU-94"/>
    <hyperlink ref="B102" location="'ADU-95'!A1" display="ADU-95"/>
    <hyperlink ref="B78" location="'ADU-59'!A1" display="ADU-59"/>
    <hyperlink ref="B77" location="'ADU-58'!A1" display="ADU-58"/>
    <hyperlink ref="B76" location="'ADU-57'!A1" display="ADU-57"/>
    <hyperlink ref="B79" location="'ADU-60'!A1" display="ADU-60"/>
    <hyperlink ref="B13" location="'ADO-10'!A1" display="ADO-10"/>
    <hyperlink ref="B14" location="'ADO-11'!A1" display="ADO-11"/>
    <hyperlink ref="B29" location="'ADO-34'!A1" display="ADO-34"/>
    <hyperlink ref="B30" location="'ADO-35'!A1" display="ADO-35"/>
    <hyperlink ref="B80" location="'ADU-61'!A1" display="ADU-61"/>
    <hyperlink ref="B31" location="'ADO-36'!A1" display="ADO-36"/>
    <hyperlink ref="B32" location="'ADO-39'!A1" display="ADO-39"/>
    <hyperlink ref="B67" location="'ADU-34'!A1" display="ADU-34"/>
    <hyperlink ref="B68" location="'ADU-35'!A1" display="ADU-35"/>
    <hyperlink ref="B81" location="'ADU-62'!A1" display="ADU-62"/>
    <hyperlink ref="B82" location="'ADU-63'!A1" display="ADU-63"/>
    <hyperlink ref="B83" location="'ADU-64'!A1" display="ADU-64"/>
    <hyperlink ref="B84" location="'ADU-65'!A1" display="ADU-65"/>
    <hyperlink ref="B60" location="'ADU-25'!A1" display="ADU-25"/>
    <hyperlink ref="B61" location="'ADU-25'!A1" display="ADU-25"/>
    <hyperlink ref="B62" location="'ADU-25'!A1" display="ADU-25"/>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69"/>
  <sheetViews>
    <sheetView workbookViewId="0">
      <selection activeCell="I10" sqref="I10"/>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902</v>
      </c>
      <c r="C2" s="1068"/>
      <c r="D2" s="1068"/>
      <c r="E2" s="1068"/>
      <c r="F2" s="7"/>
      <c r="G2" s="986" t="s">
        <v>751</v>
      </c>
      <c r="H2" s="986"/>
    </row>
    <row r="3" spans="1:28" ht="19.5" customHeight="1" x14ac:dyDescent="0.25">
      <c r="A3" s="504" t="s">
        <v>743</v>
      </c>
      <c r="B3" s="987" t="s">
        <v>747</v>
      </c>
      <c r="C3" s="987"/>
      <c r="D3" s="987"/>
      <c r="E3" s="987"/>
      <c r="F3" s="7"/>
      <c r="G3" s="986" t="s">
        <v>752</v>
      </c>
      <c r="H3" s="986"/>
    </row>
    <row r="4" spans="1:28" ht="19.5" customHeight="1" x14ac:dyDescent="0.25">
      <c r="A4" s="503" t="s">
        <v>292</v>
      </c>
      <c r="B4" s="996" t="s">
        <v>380</v>
      </c>
      <c r="C4" s="996"/>
      <c r="D4" s="996"/>
      <c r="E4" s="996"/>
      <c r="F4" s="7"/>
      <c r="G4" s="986" t="s">
        <v>753</v>
      </c>
      <c r="H4" s="986"/>
    </row>
    <row r="5" spans="1:28" ht="19.5" customHeight="1" x14ac:dyDescent="0.25">
      <c r="A5" s="503" t="s">
        <v>16</v>
      </c>
      <c r="B5" s="1015" t="s">
        <v>20</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507"/>
      <c r="J7" s="507"/>
      <c r="Z7" s="505"/>
      <c r="AA7" s="506"/>
      <c r="AB7" s="357"/>
    </row>
    <row r="8" spans="1:28" ht="24" customHeight="1" x14ac:dyDescent="0.25">
      <c r="A8" s="510" t="s">
        <v>1</v>
      </c>
      <c r="B8" s="967"/>
      <c r="C8" s="967"/>
      <c r="D8" s="967"/>
      <c r="E8" s="967"/>
      <c r="Z8" s="1028" t="s">
        <v>611</v>
      </c>
      <c r="AA8" s="1029"/>
      <c r="AB8" s="357">
        <v>0.26819999999999999</v>
      </c>
    </row>
    <row r="9" spans="1:28" ht="24" customHeight="1" x14ac:dyDescent="0.25">
      <c r="A9" s="510" t="s">
        <v>0</v>
      </c>
      <c r="B9" s="967"/>
      <c r="C9" s="967"/>
      <c r="D9" s="967"/>
      <c r="E9" s="967"/>
      <c r="Z9" s="1028" t="s">
        <v>612</v>
      </c>
      <c r="AA9" s="1029"/>
      <c r="AB9" s="357">
        <v>3.1300000000000001E-2</v>
      </c>
    </row>
    <row r="10" spans="1:28" ht="39" customHeight="1" x14ac:dyDescent="0.25">
      <c r="A10" s="510" t="s">
        <v>2</v>
      </c>
      <c r="B10" s="1034"/>
      <c r="C10" s="1035"/>
      <c r="D10" s="1035"/>
      <c r="E10" s="1035"/>
      <c r="R10" s="7"/>
      <c r="Z10" s="1028"/>
      <c r="AA10" s="1029"/>
      <c r="AB10" s="357"/>
    </row>
    <row r="11" spans="1:28" ht="39" customHeight="1" x14ac:dyDescent="0.25">
      <c r="A11" s="510" t="s">
        <v>29</v>
      </c>
      <c r="B11" s="1031"/>
      <c r="C11" s="1032"/>
      <c r="D11" s="1032"/>
      <c r="E11" s="1033"/>
      <c r="G11" s="500">
        <f>G16</f>
        <v>0</v>
      </c>
      <c r="H11" s="509" t="s">
        <v>144</v>
      </c>
      <c r="I11" s="500">
        <f>M16</f>
        <v>0</v>
      </c>
      <c r="Z11" s="1028" t="s">
        <v>613</v>
      </c>
      <c r="AA11" s="1029"/>
      <c r="AB11" s="357">
        <v>0.26819999999999999</v>
      </c>
    </row>
    <row r="12" spans="1:28" ht="30" customHeight="1" x14ac:dyDescent="0.25">
      <c r="A12" s="510" t="s">
        <v>14</v>
      </c>
      <c r="B12" s="1010"/>
      <c r="C12" s="1010"/>
      <c r="D12" s="1010"/>
      <c r="E12" s="1010"/>
      <c r="G12" s="500">
        <f>H16</f>
        <v>0</v>
      </c>
      <c r="H12" s="509" t="s">
        <v>145</v>
      </c>
      <c r="I12" s="500"/>
      <c r="Z12" s="1028" t="s">
        <v>614</v>
      </c>
      <c r="AA12" s="1029"/>
      <c r="AB12" s="357">
        <v>1.18E-2</v>
      </c>
    </row>
    <row r="13" spans="1:28" ht="30" customHeight="1" x14ac:dyDescent="0.25">
      <c r="A13" s="510" t="s">
        <v>3</v>
      </c>
      <c r="B13" s="1010"/>
      <c r="C13" s="1010"/>
      <c r="D13" s="1010"/>
      <c r="E13" s="1010"/>
      <c r="Z13" s="1028" t="s">
        <v>615</v>
      </c>
      <c r="AA13" s="1029"/>
      <c r="AB13" s="358">
        <f>AB15/0.55</f>
        <v>0.50363636363636366</v>
      </c>
    </row>
    <row r="14" spans="1:28" ht="30" customHeight="1" x14ac:dyDescent="0.25">
      <c r="A14" s="510" t="s">
        <v>15</v>
      </c>
      <c r="B14" s="1010"/>
      <c r="C14" s="1010"/>
      <c r="D14" s="1010"/>
      <c r="E14" s="1010"/>
      <c r="Z14" s="1028" t="s">
        <v>616</v>
      </c>
      <c r="AA14" s="1029"/>
      <c r="AB14" s="357">
        <v>0.26819999999999999</v>
      </c>
    </row>
    <row r="15" spans="1:28" ht="30" customHeight="1" x14ac:dyDescent="0.25">
      <c r="A15" s="510" t="s">
        <v>4</v>
      </c>
      <c r="B15" s="1010"/>
      <c r="C15" s="1010"/>
      <c r="D15" s="1010"/>
      <c r="E15" s="1010"/>
      <c r="G15" s="509" t="s">
        <v>144</v>
      </c>
      <c r="H15" s="509" t="s">
        <v>145</v>
      </c>
      <c r="I15" s="509" t="s">
        <v>121</v>
      </c>
      <c r="J15" s="509" t="s">
        <v>118</v>
      </c>
      <c r="K15" s="509" t="s">
        <v>119</v>
      </c>
      <c r="L15" s="509" t="s">
        <v>143</v>
      </c>
      <c r="Z15" s="1028" t="s">
        <v>578</v>
      </c>
      <c r="AA15" s="1029"/>
      <c r="AB15" s="357">
        <v>0.27700000000000002</v>
      </c>
    </row>
    <row r="16" spans="1:28" ht="30" customHeight="1" x14ac:dyDescent="0.25">
      <c r="A16" s="510" t="s">
        <v>5</v>
      </c>
      <c r="B16" s="1010"/>
      <c r="C16" s="1010"/>
      <c r="D16" s="1010"/>
      <c r="E16" s="1010"/>
      <c r="G16" s="509">
        <f>G17*260*24</f>
        <v>0</v>
      </c>
      <c r="H16" s="509">
        <f>H17*355*24</f>
        <v>0</v>
      </c>
      <c r="I16" s="509">
        <v>0.24</v>
      </c>
      <c r="J16" s="509">
        <v>0.26819999999999999</v>
      </c>
      <c r="K16" s="360">
        <v>0.27700000000000002</v>
      </c>
      <c r="L16" s="509">
        <v>65</v>
      </c>
      <c r="Z16" s="1028" t="s">
        <v>579</v>
      </c>
      <c r="AA16" s="1029"/>
      <c r="AB16" s="357">
        <v>0.20269999999999999</v>
      </c>
    </row>
    <row r="17" spans="1:10" ht="30" customHeight="1" x14ac:dyDescent="0.25">
      <c r="A17" s="510" t="s">
        <v>6</v>
      </c>
      <c r="B17" s="1012"/>
      <c r="C17" s="1012"/>
      <c r="D17" s="1012"/>
      <c r="E17" s="1012"/>
      <c r="G17" s="529">
        <v>0</v>
      </c>
      <c r="H17" s="529">
        <v>0</v>
      </c>
      <c r="I17" s="525" t="s">
        <v>925</v>
      </c>
      <c r="J17" s="525" t="s">
        <v>926</v>
      </c>
    </row>
    <row r="18" spans="1:10" ht="30" customHeight="1" x14ac:dyDescent="0.25">
      <c r="A18" s="510" t="s">
        <v>7</v>
      </c>
      <c r="B18" s="1012"/>
      <c r="C18" s="1012"/>
      <c r="D18" s="1012"/>
      <c r="E18" s="1012"/>
      <c r="I18" s="525">
        <v>0.06</v>
      </c>
      <c r="J18" s="525">
        <f>AB16</f>
        <v>0.20269999999999999</v>
      </c>
    </row>
    <row r="19" spans="1:10" ht="30" customHeight="1" x14ac:dyDescent="0.25">
      <c r="A19" s="99" t="s">
        <v>307</v>
      </c>
      <c r="B19" s="1130">
        <f>G16+H16</f>
        <v>0</v>
      </c>
      <c r="C19" s="1130"/>
      <c r="D19" s="1130"/>
      <c r="E19" s="1130"/>
      <c r="G19" s="2"/>
      <c r="H19" s="2"/>
    </row>
    <row r="20" spans="1:10" ht="30" customHeight="1" x14ac:dyDescent="0.25">
      <c r="A20" s="96" t="s">
        <v>306</v>
      </c>
      <c r="B20" s="1126">
        <f>G16+H16</f>
        <v>0</v>
      </c>
      <c r="C20" s="1126"/>
      <c r="D20" s="1126"/>
      <c r="E20" s="1126"/>
      <c r="G20" s="165"/>
      <c r="H20" s="2"/>
    </row>
    <row r="21" spans="1:10" ht="30" customHeight="1" x14ac:dyDescent="0.25">
      <c r="A21" s="510" t="s">
        <v>8</v>
      </c>
      <c r="B21" s="1131">
        <f>H16*I16-G16*I18</f>
        <v>0</v>
      </c>
      <c r="C21" s="1131"/>
      <c r="D21" s="1131"/>
      <c r="E21" s="1131"/>
    </row>
    <row r="22" spans="1:10" ht="30" customHeight="1" x14ac:dyDescent="0.25">
      <c r="A22" s="510" t="s">
        <v>9</v>
      </c>
      <c r="B22" s="1000">
        <v>0</v>
      </c>
      <c r="C22" s="1000"/>
      <c r="D22" s="1000"/>
      <c r="E22" s="1000"/>
    </row>
    <row r="23" spans="1:10" ht="30" customHeight="1" x14ac:dyDescent="0.25">
      <c r="A23" s="510" t="s">
        <v>301</v>
      </c>
      <c r="B23" s="1016" t="e">
        <f>B17/(B21+B22)</f>
        <v>#DIV/0!</v>
      </c>
      <c r="C23" s="1016"/>
      <c r="D23" s="1016"/>
      <c r="E23" s="1016"/>
    </row>
    <row r="24" spans="1:10" ht="30" customHeight="1" x14ac:dyDescent="0.25">
      <c r="A24" s="510" t="s">
        <v>302</v>
      </c>
      <c r="B24" s="1017" t="e">
        <f>(B17-B18)/(B21+B22)</f>
        <v>#DIV/0!</v>
      </c>
      <c r="C24" s="1017"/>
      <c r="D24" s="1017"/>
      <c r="E24" s="1017"/>
    </row>
    <row r="25" spans="1:10" ht="30" customHeight="1" x14ac:dyDescent="0.25">
      <c r="A25" s="100" t="s">
        <v>305</v>
      </c>
      <c r="B25" s="1080">
        <f>H16*K16/1000-G16/1000*J18</f>
        <v>0</v>
      </c>
      <c r="C25" s="1080"/>
      <c r="D25" s="1080"/>
      <c r="E25" s="1080"/>
    </row>
    <row r="26" spans="1:10" ht="30" customHeight="1" x14ac:dyDescent="0.25">
      <c r="A26" s="101" t="s">
        <v>303</v>
      </c>
      <c r="B26" s="1071">
        <f>B25/'Objectifs CO2'!C10</f>
        <v>0</v>
      </c>
      <c r="C26" s="1071"/>
      <c r="D26" s="1071"/>
      <c r="E26" s="1071"/>
    </row>
    <row r="27" spans="1:10" ht="30" customHeight="1" x14ac:dyDescent="0.25">
      <c r="A27" s="101" t="s">
        <v>304</v>
      </c>
      <c r="B27" s="1056">
        <f>B25/'[3]Objectifs CO2'!C4</f>
        <v>0</v>
      </c>
      <c r="C27" s="1057"/>
      <c r="D27" s="1057"/>
      <c r="E27" s="1057"/>
    </row>
    <row r="28" spans="1:10" ht="30" customHeight="1" x14ac:dyDescent="0.25">
      <c r="A28" s="101" t="s">
        <v>22</v>
      </c>
      <c r="B28" s="999"/>
      <c r="C28" s="999"/>
      <c r="D28" s="999"/>
      <c r="E28" s="999"/>
    </row>
    <row r="29" spans="1:10" ht="30" customHeight="1" x14ac:dyDescent="0.25">
      <c r="A29" s="101" t="s">
        <v>257</v>
      </c>
      <c r="B29" s="999"/>
      <c r="C29" s="999"/>
      <c r="D29" s="999"/>
      <c r="E29" s="999"/>
    </row>
    <row r="31" spans="1:10" x14ac:dyDescent="0.25">
      <c r="A31" s="603" t="s">
        <v>1065</v>
      </c>
      <c r="B31" s="1003" t="s">
        <v>675</v>
      </c>
      <c r="C31" s="1003"/>
      <c r="D31" s="1003"/>
      <c r="E31" s="500" t="s">
        <v>676</v>
      </c>
    </row>
    <row r="32" spans="1:10"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08"/>
      <c r="E43" s="94" t="s">
        <v>730</v>
      </c>
    </row>
    <row r="44" spans="1:12" x14ac:dyDescent="0.25">
      <c r="A44" s="508"/>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1:D41"/>
    <mergeCell ref="B42:D42"/>
    <mergeCell ref="B44:D44"/>
    <mergeCell ref="B36:D36"/>
    <mergeCell ref="B37:D37"/>
    <mergeCell ref="B38:D38"/>
    <mergeCell ref="B39:D39"/>
    <mergeCell ref="B40:D40"/>
    <mergeCell ref="G40:I40"/>
    <mergeCell ref="B33:D33"/>
    <mergeCell ref="H33:I33"/>
    <mergeCell ref="B34:D34"/>
    <mergeCell ref="H34:I34"/>
    <mergeCell ref="B35:D35"/>
    <mergeCell ref="H35:I35"/>
    <mergeCell ref="G32:I32"/>
    <mergeCell ref="B21:E21"/>
    <mergeCell ref="B22:E22"/>
    <mergeCell ref="B23:E23"/>
    <mergeCell ref="B24:E24"/>
    <mergeCell ref="B25:E25"/>
    <mergeCell ref="B26:E26"/>
    <mergeCell ref="B27:E27"/>
    <mergeCell ref="B28:E28"/>
    <mergeCell ref="B29:E29"/>
    <mergeCell ref="B31:D31"/>
    <mergeCell ref="B32:D32"/>
    <mergeCell ref="B20:E20"/>
    <mergeCell ref="B13:E13"/>
    <mergeCell ref="Z13:AA13"/>
    <mergeCell ref="B14:E14"/>
    <mergeCell ref="Z14:AA14"/>
    <mergeCell ref="B15:E15"/>
    <mergeCell ref="Z15:AA15"/>
    <mergeCell ref="B16:E16"/>
    <mergeCell ref="Z16:AA16"/>
    <mergeCell ref="B17:E17"/>
    <mergeCell ref="B18:E18"/>
    <mergeCell ref="B19:E19"/>
    <mergeCell ref="B10:E10"/>
    <mergeCell ref="Z10:AA10"/>
    <mergeCell ref="B11:E11"/>
    <mergeCell ref="Z11:AA11"/>
    <mergeCell ref="B12:E12"/>
    <mergeCell ref="Z12:AA12"/>
    <mergeCell ref="B7:E7"/>
    <mergeCell ref="G7:H7"/>
    <mergeCell ref="B8:E8"/>
    <mergeCell ref="Z8:AA8"/>
    <mergeCell ref="B9:E9"/>
    <mergeCell ref="Z9:AA9"/>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80" priority="1" operator="containsText" text="Terminé">
      <formula>NOT(ISERROR(SEARCH("Terminé",B5)))</formula>
    </cfRule>
    <cfRule type="containsText" dxfId="79" priority="2" operator="containsText" text="En cours">
      <formula>NOT(ISERROR(SEARCH("En cours",B5)))</formula>
    </cfRule>
    <cfRule type="containsText" dxfId="7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9"/>
  <sheetViews>
    <sheetView topLeftCell="C1" zoomScaleNormal="100" workbookViewId="0">
      <selection activeCell="I23" sqref="I23"/>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276"/>
      <c r="G1" s="7"/>
      <c r="H1" s="7"/>
    </row>
    <row r="2" spans="1:28" ht="19.5" customHeight="1" x14ac:dyDescent="0.25">
      <c r="A2" s="415" t="s">
        <v>750</v>
      </c>
      <c r="B2" s="1068" t="s">
        <v>792</v>
      </c>
      <c r="C2" s="1068"/>
      <c r="D2" s="1068"/>
      <c r="E2" s="1068"/>
      <c r="F2" s="7"/>
      <c r="G2" s="986" t="s">
        <v>751</v>
      </c>
      <c r="H2" s="986"/>
    </row>
    <row r="3" spans="1:28" ht="19.5" customHeight="1" x14ac:dyDescent="0.25">
      <c r="A3" s="409" t="s">
        <v>743</v>
      </c>
      <c r="B3" s="987" t="s">
        <v>748</v>
      </c>
      <c r="C3" s="987"/>
      <c r="D3" s="987"/>
      <c r="E3" s="987"/>
      <c r="F3" s="7"/>
      <c r="G3" s="986" t="s">
        <v>752</v>
      </c>
      <c r="H3" s="986"/>
      <c r="I3" s="6"/>
      <c r="J3" s="6"/>
    </row>
    <row r="4" spans="1:28" ht="19.5" customHeight="1" x14ac:dyDescent="0.25">
      <c r="A4" s="403" t="s">
        <v>292</v>
      </c>
      <c r="B4" s="996" t="s">
        <v>31</v>
      </c>
      <c r="C4" s="996"/>
      <c r="D4" s="996"/>
      <c r="E4" s="996"/>
      <c r="F4" s="7"/>
      <c r="G4" s="986" t="s">
        <v>753</v>
      </c>
      <c r="H4" s="986"/>
      <c r="I4" s="6"/>
      <c r="J4" s="6"/>
    </row>
    <row r="5" spans="1:28" ht="19.5" customHeight="1" x14ac:dyDescent="0.25">
      <c r="A5" s="403" t="s">
        <v>16</v>
      </c>
      <c r="B5" s="1015" t="s">
        <v>19</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426</v>
      </c>
      <c r="C7" s="994"/>
      <c r="D7" s="994"/>
      <c r="E7" s="994"/>
      <c r="F7" s="7"/>
      <c r="G7" s="995" t="s">
        <v>756</v>
      </c>
      <c r="H7" s="995"/>
      <c r="I7" s="400"/>
      <c r="J7" s="400"/>
      <c r="Z7" s="401"/>
      <c r="AA7" s="402"/>
      <c r="AB7" s="357"/>
    </row>
    <row r="8" spans="1:28" s="6" customFormat="1" ht="24" customHeight="1" x14ac:dyDescent="0.25">
      <c r="A8" s="207" t="s">
        <v>1</v>
      </c>
      <c r="B8" s="967" t="s">
        <v>67</v>
      </c>
      <c r="C8" s="967"/>
      <c r="D8" s="967"/>
      <c r="E8" s="967"/>
      <c r="G8" s="997" t="s">
        <v>936</v>
      </c>
      <c r="Z8" s="1028" t="s">
        <v>611</v>
      </c>
      <c r="AA8" s="1029"/>
      <c r="AB8" s="357">
        <v>0.26819999999999999</v>
      </c>
    </row>
    <row r="9" spans="1:28" s="6" customFormat="1" ht="24" customHeight="1" x14ac:dyDescent="0.25">
      <c r="A9" s="207" t="s">
        <v>0</v>
      </c>
      <c r="B9" s="967" t="s">
        <v>68</v>
      </c>
      <c r="C9" s="967"/>
      <c r="D9" s="967"/>
      <c r="E9" s="967"/>
      <c r="G9" s="997"/>
      <c r="Z9" s="1028" t="s">
        <v>612</v>
      </c>
      <c r="AA9" s="1029"/>
      <c r="AB9" s="357">
        <v>3.1300000000000001E-2</v>
      </c>
    </row>
    <row r="10" spans="1:28" s="6" customFormat="1" ht="54" customHeight="1" x14ac:dyDescent="0.25">
      <c r="A10" s="207" t="s">
        <v>2</v>
      </c>
      <c r="B10" s="1034"/>
      <c r="C10" s="1034"/>
      <c r="D10" s="1034"/>
      <c r="E10" s="1034"/>
      <c r="G10" s="997"/>
      <c r="M10" s="7"/>
      <c r="Z10" s="1028"/>
      <c r="AA10" s="1029"/>
      <c r="AB10" s="357"/>
    </row>
    <row r="11" spans="1:28" s="6" customFormat="1" ht="54" customHeight="1" x14ac:dyDescent="0.25">
      <c r="A11" s="207" t="s">
        <v>29</v>
      </c>
      <c r="B11" s="1035"/>
      <c r="C11" s="1035"/>
      <c r="D11" s="1035"/>
      <c r="E11" s="1035"/>
      <c r="G11" s="225">
        <f>G15</f>
        <v>20</v>
      </c>
      <c r="H11" s="225" t="s">
        <v>215</v>
      </c>
      <c r="Z11" s="1028" t="s">
        <v>613</v>
      </c>
      <c r="AA11" s="1029"/>
      <c r="AB11" s="357">
        <v>0.26819999999999999</v>
      </c>
    </row>
    <row r="12" spans="1:28" s="6" customFormat="1" ht="30" customHeight="1" x14ac:dyDescent="0.25">
      <c r="A12" s="207" t="s">
        <v>14</v>
      </c>
      <c r="B12" s="1010" t="s">
        <v>607</v>
      </c>
      <c r="C12" s="1010"/>
      <c r="D12" s="1010"/>
      <c r="E12" s="1010"/>
      <c r="Z12" s="1028" t="s">
        <v>614</v>
      </c>
      <c r="AA12" s="1029"/>
      <c r="AB12" s="357">
        <v>1.18E-2</v>
      </c>
    </row>
    <row r="13" spans="1:28" s="6" customFormat="1" ht="30" customHeight="1" x14ac:dyDescent="0.25">
      <c r="A13" s="207" t="s">
        <v>3</v>
      </c>
      <c r="B13" s="1010"/>
      <c r="C13" s="1010"/>
      <c r="D13" s="1010"/>
      <c r="E13" s="1010"/>
      <c r="Z13" s="1028" t="s">
        <v>615</v>
      </c>
      <c r="AA13" s="1029"/>
      <c r="AB13" s="358">
        <f>AB15/0.55</f>
        <v>0.50363636363636366</v>
      </c>
    </row>
    <row r="14" spans="1:28" s="6" customFormat="1" ht="30" customHeight="1" x14ac:dyDescent="0.25">
      <c r="A14" s="207" t="s">
        <v>15</v>
      </c>
      <c r="B14" s="1010"/>
      <c r="C14" s="1010"/>
      <c r="D14" s="1010"/>
      <c r="E14" s="1010"/>
      <c r="G14" s="59" t="s">
        <v>136</v>
      </c>
      <c r="H14" s="60" t="s">
        <v>137</v>
      </c>
      <c r="I14" s="60" t="s">
        <v>138</v>
      </c>
      <c r="J14" s="60" t="s">
        <v>117</v>
      </c>
      <c r="K14" s="60" t="s">
        <v>118</v>
      </c>
      <c r="L14" s="60" t="s">
        <v>444</v>
      </c>
      <c r="M14" s="60" t="s">
        <v>300</v>
      </c>
      <c r="Z14" s="1028" t="s">
        <v>616</v>
      </c>
      <c r="AA14" s="1029"/>
      <c r="AB14" s="357">
        <v>0.26819999999999999</v>
      </c>
    </row>
    <row r="15" spans="1:28" s="6" customFormat="1" ht="30" customHeight="1" x14ac:dyDescent="0.25">
      <c r="A15" s="207" t="s">
        <v>4</v>
      </c>
      <c r="B15" s="1010">
        <v>2007</v>
      </c>
      <c r="C15" s="1010"/>
      <c r="D15" s="1010"/>
      <c r="E15" s="1010"/>
      <c r="G15" s="478">
        <v>20</v>
      </c>
      <c r="H15" s="60">
        <v>6</v>
      </c>
      <c r="I15" s="60">
        <v>437</v>
      </c>
      <c r="J15" s="60">
        <v>0.7</v>
      </c>
      <c r="K15" s="60">
        <f>AB8</f>
        <v>0.26819999999999999</v>
      </c>
      <c r="L15" s="60">
        <v>750</v>
      </c>
      <c r="M15" s="60">
        <v>1000</v>
      </c>
      <c r="Z15" s="1028" t="s">
        <v>578</v>
      </c>
      <c r="AA15" s="1029"/>
      <c r="AB15" s="357">
        <v>0.27700000000000002</v>
      </c>
    </row>
    <row r="16" spans="1:28" s="6" customFormat="1" ht="30" customHeight="1" x14ac:dyDescent="0.25">
      <c r="A16" s="207" t="s">
        <v>5</v>
      </c>
      <c r="B16" s="1010">
        <v>2014</v>
      </c>
      <c r="C16" s="1010"/>
      <c r="D16" s="1010"/>
      <c r="E16" s="1010"/>
      <c r="Z16" s="1028" t="s">
        <v>579</v>
      </c>
      <c r="AA16" s="1029"/>
      <c r="AB16" s="357">
        <v>0.20269999999999999</v>
      </c>
    </row>
    <row r="17" spans="1:9" s="6" customFormat="1" ht="30" customHeight="1" x14ac:dyDescent="0.25">
      <c r="A17" s="207" t="s">
        <v>6</v>
      </c>
      <c r="B17" s="1000">
        <f>G15*H15*L15</f>
        <v>90000</v>
      </c>
      <c r="C17" s="1000"/>
      <c r="D17" s="1000"/>
      <c r="E17" s="1000"/>
    </row>
    <row r="18" spans="1:9" s="6" customFormat="1" ht="30" customHeight="1" x14ac:dyDescent="0.25">
      <c r="A18" s="207" t="s">
        <v>7</v>
      </c>
      <c r="B18" s="1000">
        <f>G15*M15</f>
        <v>20000</v>
      </c>
      <c r="C18" s="1000"/>
      <c r="D18" s="1000"/>
      <c r="E18" s="1000"/>
    </row>
    <row r="19" spans="1:9" s="6" customFormat="1" ht="30" customHeight="1" x14ac:dyDescent="0.25">
      <c r="A19" s="99" t="s">
        <v>307</v>
      </c>
      <c r="B19" s="1039">
        <f>G15*H15*I15</f>
        <v>52440</v>
      </c>
      <c r="C19" s="1040"/>
      <c r="D19" s="1040"/>
      <c r="E19" s="1040"/>
    </row>
    <row r="20" spans="1:9" s="6" customFormat="1" ht="30" customHeight="1" x14ac:dyDescent="0.25">
      <c r="A20" s="96" t="s">
        <v>306</v>
      </c>
      <c r="B20" s="1041">
        <f>G15*H15*I15</f>
        <v>52440</v>
      </c>
      <c r="C20" s="1042"/>
      <c r="D20" s="1042"/>
      <c r="E20" s="1042"/>
    </row>
    <row r="21" spans="1:9" s="6" customFormat="1" ht="30" customHeight="1" x14ac:dyDescent="0.25">
      <c r="A21" s="207" t="s">
        <v>8</v>
      </c>
      <c r="B21" s="1000">
        <v>225</v>
      </c>
      <c r="C21" s="1000"/>
      <c r="D21" s="1000"/>
      <c r="E21" s="1000"/>
    </row>
    <row r="22" spans="1:9" s="6" customFormat="1" ht="30" customHeight="1" x14ac:dyDescent="0.25">
      <c r="A22" s="207" t="s">
        <v>9</v>
      </c>
      <c r="B22" s="1000">
        <v>0</v>
      </c>
      <c r="C22" s="1000"/>
      <c r="D22" s="1000"/>
      <c r="E22" s="1000"/>
    </row>
    <row r="23" spans="1:9" s="6" customFormat="1" ht="30" customHeight="1" x14ac:dyDescent="0.25">
      <c r="A23" s="207" t="s">
        <v>301</v>
      </c>
      <c r="B23" s="1016">
        <f>B17/(B21+B22)</f>
        <v>400</v>
      </c>
      <c r="C23" s="1016"/>
      <c r="D23" s="1016"/>
      <c r="E23" s="1016"/>
    </row>
    <row r="24" spans="1:9" s="6" customFormat="1" ht="30" customHeight="1" x14ac:dyDescent="0.25">
      <c r="A24" s="207" t="s">
        <v>302</v>
      </c>
      <c r="B24" s="1017">
        <f>(B17-B18)/(B21+B22)</f>
        <v>311.11111111111109</v>
      </c>
      <c r="C24" s="1017"/>
      <c r="D24" s="1017"/>
      <c r="E24" s="1017"/>
    </row>
    <row r="25" spans="1:9" s="6" customFormat="1" ht="30" customHeight="1" x14ac:dyDescent="0.25">
      <c r="A25" s="100" t="s">
        <v>305</v>
      </c>
      <c r="B25" s="1070">
        <f>B20/1000*K15</f>
        <v>14.064407999999998</v>
      </c>
      <c r="C25" s="1070"/>
      <c r="D25" s="1070"/>
      <c r="E25" s="1070"/>
    </row>
    <row r="26" spans="1:9" s="6" customFormat="1" ht="30" customHeight="1" x14ac:dyDescent="0.25">
      <c r="A26" s="101" t="s">
        <v>303</v>
      </c>
      <c r="B26" s="1058">
        <f>+B25/'[3]Objectifs CO2'!C7</f>
        <v>4.9122175780550118E-3</v>
      </c>
      <c r="C26" s="1058"/>
      <c r="D26" s="1058"/>
      <c r="E26" s="1058"/>
    </row>
    <row r="27" spans="1:9" s="6" customFormat="1" ht="30" customHeight="1" x14ac:dyDescent="0.25">
      <c r="A27" s="101" t="s">
        <v>304</v>
      </c>
      <c r="B27" s="1056">
        <f>B25/'[3]Objectifs CO2'!C4</f>
        <v>1.4736652734165033E-3</v>
      </c>
      <c r="C27" s="1057"/>
      <c r="D27" s="1057"/>
      <c r="E27" s="1057"/>
    </row>
    <row r="28" spans="1:9" s="6" customFormat="1" ht="30" customHeight="1" x14ac:dyDescent="0.25">
      <c r="A28" s="101" t="s">
        <v>22</v>
      </c>
      <c r="B28" s="999"/>
      <c r="C28" s="999"/>
      <c r="D28" s="999"/>
      <c r="E28" s="999"/>
    </row>
    <row r="29" spans="1:9" s="6" customFormat="1" ht="30" customHeight="1" x14ac:dyDescent="0.25">
      <c r="A29" s="101" t="s">
        <v>257</v>
      </c>
      <c r="B29" s="999"/>
      <c r="C29" s="999"/>
      <c r="D29" s="999"/>
      <c r="E29" s="999"/>
    </row>
    <row r="31" spans="1:9" x14ac:dyDescent="0.25">
      <c r="A31" s="603" t="s">
        <v>1065</v>
      </c>
      <c r="B31" s="1003" t="s">
        <v>675</v>
      </c>
      <c r="C31" s="1003"/>
      <c r="D31" s="1003"/>
      <c r="E31" s="56" t="s">
        <v>676</v>
      </c>
      <c r="F31" s="6"/>
      <c r="G31" s="6"/>
      <c r="H31" s="6"/>
      <c r="I31" s="6"/>
    </row>
    <row r="32" spans="1:9"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H33:I33"/>
    <mergeCell ref="G40:I40"/>
    <mergeCell ref="B34:D34"/>
    <mergeCell ref="H34:I34"/>
    <mergeCell ref="B35:D35"/>
    <mergeCell ref="H35:I35"/>
    <mergeCell ref="G59:L59"/>
    <mergeCell ref="B60:F60"/>
    <mergeCell ref="G60:L60"/>
    <mergeCell ref="G46:L46"/>
    <mergeCell ref="B36:D36"/>
    <mergeCell ref="B42:D42"/>
    <mergeCell ref="B44:D44"/>
    <mergeCell ref="B37:D37"/>
    <mergeCell ref="B38:D38"/>
    <mergeCell ref="B39:D39"/>
    <mergeCell ref="B40:D40"/>
    <mergeCell ref="B41:D41"/>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B24:E24"/>
    <mergeCell ref="B11:E11"/>
    <mergeCell ref="B28:E28"/>
    <mergeCell ref="B18:E18"/>
    <mergeCell ref="B19:E19"/>
    <mergeCell ref="B21:E21"/>
    <mergeCell ref="B12:E12"/>
    <mergeCell ref="B13:E13"/>
    <mergeCell ref="B14:E14"/>
    <mergeCell ref="B15:E15"/>
    <mergeCell ref="B27:E27"/>
    <mergeCell ref="B22:E22"/>
    <mergeCell ref="B25:E25"/>
    <mergeCell ref="B26:E26"/>
    <mergeCell ref="B23:E23"/>
    <mergeCell ref="B20:E20"/>
    <mergeCell ref="B31:D31"/>
    <mergeCell ref="B32:D32"/>
    <mergeCell ref="G32:I32"/>
    <mergeCell ref="B33:D33"/>
    <mergeCell ref="G7:H7"/>
    <mergeCell ref="A1:E1"/>
    <mergeCell ref="B2:E2"/>
    <mergeCell ref="G2:H2"/>
    <mergeCell ref="B3:E3"/>
    <mergeCell ref="G3:H3"/>
    <mergeCell ref="B4:E4"/>
    <mergeCell ref="B5:E5"/>
    <mergeCell ref="B6:E6"/>
    <mergeCell ref="B7:E7"/>
    <mergeCell ref="G6:H6"/>
    <mergeCell ref="G4:H4"/>
    <mergeCell ref="G5:H5"/>
    <mergeCell ref="G8:G10"/>
    <mergeCell ref="B8:E8"/>
    <mergeCell ref="B9:E9"/>
    <mergeCell ref="B10:E10"/>
    <mergeCell ref="B16:E16"/>
    <mergeCell ref="B17:E17"/>
    <mergeCell ref="B29:E29"/>
  </mergeCells>
  <conditionalFormatting sqref="B5">
    <cfRule type="containsText" dxfId="77" priority="1" operator="containsText" text="Terminé">
      <formula>NOT(ISERROR(SEARCH("Terminé",B5)))</formula>
    </cfRule>
    <cfRule type="containsText" dxfId="76" priority="2" operator="containsText" text="En cours">
      <formula>NOT(ISERROR(SEARCH("En cours",B5)))</formula>
    </cfRule>
    <cfRule type="containsText" dxfId="7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zoomScaleNormal="100" workbookViewId="0">
      <selection activeCell="B5" sqref="B5:E5"/>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791</v>
      </c>
      <c r="C2" s="1068"/>
      <c r="D2" s="1068"/>
      <c r="E2" s="1068"/>
      <c r="F2" s="7"/>
      <c r="G2" s="986" t="s">
        <v>751</v>
      </c>
      <c r="H2" s="986"/>
    </row>
    <row r="3" spans="1:28" ht="19.5" customHeight="1" x14ac:dyDescent="0.25">
      <c r="A3" s="409" t="s">
        <v>743</v>
      </c>
      <c r="B3" s="987" t="s">
        <v>748</v>
      </c>
      <c r="C3" s="987"/>
      <c r="D3" s="987"/>
      <c r="E3" s="987"/>
      <c r="F3" s="7"/>
      <c r="G3" s="986" t="s">
        <v>752</v>
      </c>
      <c r="H3" s="986"/>
      <c r="I3" s="6"/>
      <c r="J3" s="6"/>
    </row>
    <row r="4" spans="1:28" ht="19.5" customHeight="1" x14ac:dyDescent="0.25">
      <c r="A4" s="403" t="s">
        <v>292</v>
      </c>
      <c r="B4" s="996" t="s">
        <v>31</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424</v>
      </c>
      <c r="C6" s="993"/>
      <c r="D6" s="993"/>
      <c r="E6" s="993"/>
      <c r="F6" s="7"/>
      <c r="G6" s="986" t="s">
        <v>755</v>
      </c>
      <c r="H6" s="986"/>
      <c r="I6" s="6"/>
      <c r="J6" s="6"/>
      <c r="Z6" s="1026"/>
      <c r="AA6" s="1027"/>
      <c r="AB6" s="357" t="s">
        <v>610</v>
      </c>
    </row>
    <row r="7" spans="1:28" s="6" customFormat="1" ht="19.5" customHeight="1" x14ac:dyDescent="0.25">
      <c r="A7" s="253" t="s">
        <v>475</v>
      </c>
      <c r="B7" s="994" t="s">
        <v>426</v>
      </c>
      <c r="C7" s="994"/>
      <c r="D7" s="994"/>
      <c r="E7" s="994"/>
      <c r="F7" s="7"/>
      <c r="G7" s="995" t="s">
        <v>756</v>
      </c>
      <c r="H7" s="995"/>
      <c r="I7" s="400"/>
      <c r="J7" s="400"/>
      <c r="Z7" s="401"/>
      <c r="AA7" s="402"/>
      <c r="AB7" s="357"/>
    </row>
    <row r="8" spans="1:28" ht="24" customHeight="1" x14ac:dyDescent="0.25">
      <c r="A8" s="98" t="s">
        <v>1</v>
      </c>
      <c r="B8" s="967" t="s">
        <v>67</v>
      </c>
      <c r="C8" s="967"/>
      <c r="D8" s="967"/>
      <c r="E8" s="967"/>
      <c r="G8" s="997" t="s">
        <v>936</v>
      </c>
      <c r="H8" s="6"/>
      <c r="I8" s="6"/>
      <c r="J8" s="6"/>
      <c r="K8" s="6"/>
      <c r="L8" s="6"/>
      <c r="M8" s="6"/>
      <c r="Z8" s="1028" t="s">
        <v>611</v>
      </c>
      <c r="AA8" s="1029"/>
      <c r="AB8" s="357">
        <v>0.26819999999999999</v>
      </c>
    </row>
    <row r="9" spans="1:28" ht="24" customHeight="1" x14ac:dyDescent="0.25">
      <c r="A9" s="98" t="s">
        <v>0</v>
      </c>
      <c r="B9" s="967" t="s">
        <v>98</v>
      </c>
      <c r="C9" s="967"/>
      <c r="D9" s="967"/>
      <c r="E9" s="967"/>
      <c r="G9" s="997"/>
      <c r="H9" s="6"/>
      <c r="I9" s="6"/>
      <c r="J9" s="6"/>
      <c r="K9" s="6"/>
      <c r="L9" s="6"/>
      <c r="M9" s="6"/>
      <c r="Z9" s="1028" t="s">
        <v>612</v>
      </c>
      <c r="AA9" s="1029"/>
      <c r="AB9" s="357">
        <v>3.1300000000000001E-2</v>
      </c>
    </row>
    <row r="10" spans="1:28" ht="42" customHeight="1" x14ac:dyDescent="0.25">
      <c r="A10" s="98" t="s">
        <v>2</v>
      </c>
      <c r="B10" s="1034" t="s">
        <v>839</v>
      </c>
      <c r="C10" s="1035"/>
      <c r="D10" s="1035"/>
      <c r="E10" s="1035"/>
      <c r="G10" s="997"/>
      <c r="H10" s="6"/>
      <c r="I10" s="6"/>
      <c r="J10" s="6"/>
      <c r="K10" s="6"/>
      <c r="L10" s="6"/>
      <c r="M10" s="7"/>
      <c r="Z10" s="1028"/>
      <c r="AA10" s="1029"/>
      <c r="AB10" s="357"/>
    </row>
    <row r="11" spans="1:28" ht="20.25" customHeight="1" x14ac:dyDescent="0.25">
      <c r="A11" s="98" t="s">
        <v>29</v>
      </c>
      <c r="B11" s="1034"/>
      <c r="C11" s="1035"/>
      <c r="D11" s="1035"/>
      <c r="E11" s="1035"/>
      <c r="G11" s="254">
        <v>200</v>
      </c>
      <c r="H11" s="225" t="s">
        <v>215</v>
      </c>
      <c r="I11" s="6"/>
      <c r="J11" s="6"/>
      <c r="K11" s="6"/>
      <c r="L11" s="6"/>
      <c r="Z11" s="1028" t="s">
        <v>613</v>
      </c>
      <c r="AA11" s="1029"/>
      <c r="AB11" s="357">
        <v>0.26819999999999999</v>
      </c>
    </row>
    <row r="12" spans="1:28" ht="30" customHeight="1" x14ac:dyDescent="0.25">
      <c r="A12" s="98" t="s">
        <v>14</v>
      </c>
      <c r="B12" s="1010" t="s">
        <v>607</v>
      </c>
      <c r="C12" s="1010"/>
      <c r="D12" s="1010"/>
      <c r="E12" s="1010"/>
      <c r="G12" s="6"/>
      <c r="H12" s="6"/>
      <c r="I12" s="6"/>
      <c r="J12" s="6"/>
      <c r="K12" s="6"/>
      <c r="L12" s="6"/>
      <c r="M12" s="6"/>
      <c r="Z12" s="1028" t="s">
        <v>614</v>
      </c>
      <c r="AA12" s="1029"/>
      <c r="AB12" s="357">
        <v>1.18E-2</v>
      </c>
    </row>
    <row r="13" spans="1:28" ht="30" customHeight="1" x14ac:dyDescent="0.25">
      <c r="A13" s="98" t="s">
        <v>3</v>
      </c>
      <c r="B13" s="1010"/>
      <c r="C13" s="1010"/>
      <c r="D13" s="1010"/>
      <c r="E13" s="1010"/>
      <c r="G13" s="6"/>
      <c r="H13" s="6"/>
      <c r="I13" s="6"/>
      <c r="J13" s="6"/>
      <c r="K13" s="6"/>
      <c r="L13" s="6"/>
      <c r="M13" s="6"/>
      <c r="Z13" s="1028" t="s">
        <v>615</v>
      </c>
      <c r="AA13" s="1029"/>
      <c r="AB13" s="358">
        <f>AB15/0.55</f>
        <v>0.50363636363636366</v>
      </c>
    </row>
    <row r="14" spans="1:28" ht="30" customHeight="1" x14ac:dyDescent="0.25">
      <c r="A14" s="98" t="s">
        <v>15</v>
      </c>
      <c r="B14" s="1010"/>
      <c r="C14" s="1010"/>
      <c r="D14" s="1010"/>
      <c r="E14" s="1010"/>
      <c r="G14" s="59" t="s">
        <v>136</v>
      </c>
      <c r="H14" s="262" t="s">
        <v>137</v>
      </c>
      <c r="I14" s="262" t="s">
        <v>138</v>
      </c>
      <c r="J14" s="262" t="s">
        <v>117</v>
      </c>
      <c r="K14" s="262" t="s">
        <v>118</v>
      </c>
      <c r="L14" s="262" t="s">
        <v>444</v>
      </c>
      <c r="M14" s="262" t="s">
        <v>300</v>
      </c>
      <c r="Z14" s="1028" t="s">
        <v>616</v>
      </c>
      <c r="AA14" s="1029"/>
      <c r="AB14" s="357">
        <v>0.26819999999999999</v>
      </c>
    </row>
    <row r="15" spans="1:28" ht="30" customHeight="1" x14ac:dyDescent="0.25">
      <c r="A15" s="98" t="s">
        <v>4</v>
      </c>
      <c r="B15" s="1010">
        <v>2015</v>
      </c>
      <c r="C15" s="1010"/>
      <c r="D15" s="1010"/>
      <c r="E15" s="1010"/>
      <c r="F15" s="6"/>
      <c r="G15" s="274">
        <f>SUM(G11:L11)</f>
        <v>200</v>
      </c>
      <c r="H15" s="262">
        <v>6</v>
      </c>
      <c r="I15" s="262">
        <v>240</v>
      </c>
      <c r="J15" s="262">
        <v>0.7</v>
      </c>
      <c r="K15" s="262">
        <f>AB8</f>
        <v>0.26819999999999999</v>
      </c>
      <c r="L15" s="262">
        <v>600</v>
      </c>
      <c r="M15" s="262">
        <v>2000</v>
      </c>
      <c r="Z15" s="1028" t="s">
        <v>578</v>
      </c>
      <c r="AA15" s="1029"/>
      <c r="AB15" s="357">
        <v>0.27700000000000002</v>
      </c>
    </row>
    <row r="16" spans="1:28" ht="30" customHeight="1" x14ac:dyDescent="0.25">
      <c r="A16" s="98" t="s">
        <v>5</v>
      </c>
      <c r="B16" s="1010">
        <v>2030</v>
      </c>
      <c r="C16" s="1010"/>
      <c r="D16" s="1010"/>
      <c r="E16" s="1010"/>
      <c r="F16" s="6"/>
      <c r="G16" s="6"/>
      <c r="H16" s="6"/>
      <c r="Z16" s="1028" t="s">
        <v>579</v>
      </c>
      <c r="AA16" s="1029"/>
      <c r="AB16" s="357">
        <v>0.20269999999999999</v>
      </c>
    </row>
    <row r="17" spans="1:9" ht="30" customHeight="1" x14ac:dyDescent="0.25">
      <c r="A17" s="98" t="s">
        <v>6</v>
      </c>
      <c r="B17" s="1000">
        <f>L15*G15*H15</f>
        <v>720000</v>
      </c>
      <c r="C17" s="1000"/>
      <c r="D17" s="1000"/>
      <c r="E17" s="1000"/>
      <c r="F17" s="6"/>
      <c r="G17" s="6"/>
      <c r="H17" s="6"/>
    </row>
    <row r="18" spans="1:9" ht="30" customHeight="1" x14ac:dyDescent="0.25">
      <c r="A18" s="98" t="s">
        <v>7</v>
      </c>
      <c r="B18" s="1000">
        <f>G15*M15</f>
        <v>400000</v>
      </c>
      <c r="C18" s="1000"/>
      <c r="D18" s="1000"/>
      <c r="E18" s="1000"/>
      <c r="F18" s="6"/>
      <c r="G18" s="6"/>
      <c r="H18" s="6"/>
    </row>
    <row r="19" spans="1:9" ht="30" customHeight="1" x14ac:dyDescent="0.25">
      <c r="A19" s="99" t="s">
        <v>307</v>
      </c>
      <c r="B19" s="1039">
        <f>G15*H15*I15</f>
        <v>288000</v>
      </c>
      <c r="C19" s="1040"/>
      <c r="D19" s="1040"/>
      <c r="E19" s="1040"/>
      <c r="F19" s="6">
        <f>G17*6</f>
        <v>0</v>
      </c>
      <c r="G19" s="6"/>
      <c r="H19" s="2"/>
    </row>
    <row r="20" spans="1:9" ht="30" customHeight="1" x14ac:dyDescent="0.25">
      <c r="A20" s="96" t="s">
        <v>306</v>
      </c>
      <c r="B20" s="1041">
        <f>G15*H15*I15</f>
        <v>288000</v>
      </c>
      <c r="C20" s="1042"/>
      <c r="D20" s="1042"/>
      <c r="E20" s="1042"/>
      <c r="F20" s="6">
        <f>G17*6</f>
        <v>0</v>
      </c>
      <c r="G20" s="6"/>
      <c r="H20" s="2"/>
    </row>
    <row r="21" spans="1:9" ht="30" customHeight="1" x14ac:dyDescent="0.25">
      <c r="A21" s="98" t="s">
        <v>8</v>
      </c>
      <c r="B21" s="1000">
        <f>B19*J15/10</f>
        <v>20160</v>
      </c>
      <c r="C21" s="1000"/>
      <c r="D21" s="1000"/>
      <c r="E21" s="1000"/>
      <c r="F21" s="6"/>
      <c r="G21" s="6"/>
      <c r="H21" s="6"/>
    </row>
    <row r="22" spans="1:9" ht="30" customHeight="1" x14ac:dyDescent="0.25">
      <c r="A22" s="98" t="s">
        <v>9</v>
      </c>
      <c r="B22" s="1000"/>
      <c r="C22" s="1000"/>
      <c r="D22" s="1000"/>
      <c r="E22" s="1000"/>
      <c r="F22" s="6"/>
      <c r="G22" s="6"/>
      <c r="H22" s="6"/>
    </row>
    <row r="23" spans="1:9" ht="30" customHeight="1" x14ac:dyDescent="0.25">
      <c r="A23" s="98" t="s">
        <v>301</v>
      </c>
      <c r="B23" s="1016">
        <f>B17/(B21+B22)</f>
        <v>35.714285714285715</v>
      </c>
      <c r="C23" s="1016"/>
      <c r="D23" s="1016"/>
      <c r="E23" s="1016"/>
      <c r="F23" s="6"/>
      <c r="G23" s="6"/>
      <c r="H23" s="6"/>
    </row>
    <row r="24" spans="1:9" ht="30" customHeight="1" x14ac:dyDescent="0.25">
      <c r="A24" s="98" t="s">
        <v>302</v>
      </c>
      <c r="B24" s="1017">
        <f>(B17-B18)/(B21+B22)</f>
        <v>15.873015873015873</v>
      </c>
      <c r="C24" s="1017"/>
      <c r="D24" s="1017"/>
      <c r="E24" s="1017"/>
      <c r="F24" s="6"/>
      <c r="G24" s="6"/>
      <c r="H24" s="6"/>
    </row>
    <row r="25" spans="1:9" ht="30" customHeight="1" x14ac:dyDescent="0.25">
      <c r="A25" s="100" t="s">
        <v>305</v>
      </c>
      <c r="B25" s="1070">
        <f>B20/1000*K15</f>
        <v>77.241600000000005</v>
      </c>
      <c r="C25" s="1070"/>
      <c r="D25" s="1070"/>
      <c r="E25" s="1070"/>
      <c r="F25" s="6"/>
      <c r="G25" s="6"/>
      <c r="H25" s="6"/>
    </row>
    <row r="26" spans="1:9" ht="30" customHeight="1" x14ac:dyDescent="0.25">
      <c r="A26" s="101" t="s">
        <v>303</v>
      </c>
      <c r="B26" s="1058">
        <f>B25/'Objectifs CO2'!C8</f>
        <v>7.1250440820060544E-3</v>
      </c>
      <c r="C26" s="1058"/>
      <c r="D26" s="1058"/>
      <c r="E26" s="1058"/>
      <c r="F26" s="6"/>
      <c r="G26" s="6"/>
      <c r="H26" s="6"/>
    </row>
    <row r="27" spans="1:9" ht="30" customHeight="1" x14ac:dyDescent="0.25">
      <c r="A27" s="101" t="s">
        <v>304</v>
      </c>
      <c r="B27" s="1056">
        <f>B25/'Objectifs CO2'!C4</f>
        <v>3.5625220410030272E-3</v>
      </c>
      <c r="C27" s="1057"/>
      <c r="D27" s="1057"/>
      <c r="E27" s="1057"/>
      <c r="F27" s="6"/>
      <c r="G27" s="6"/>
      <c r="H27" s="6"/>
    </row>
    <row r="28" spans="1:9" ht="30" customHeight="1" x14ac:dyDescent="0.25">
      <c r="A28" s="101" t="s">
        <v>22</v>
      </c>
      <c r="B28" s="999"/>
      <c r="C28" s="999"/>
      <c r="D28" s="999"/>
      <c r="E28" s="999"/>
      <c r="F28" s="6"/>
      <c r="G28" s="6"/>
      <c r="H28" s="6"/>
    </row>
    <row r="29" spans="1:9" ht="30" customHeight="1" x14ac:dyDescent="0.25">
      <c r="A29" s="101" t="s">
        <v>257</v>
      </c>
      <c r="B29" s="999" t="s">
        <v>278</v>
      </c>
      <c r="C29" s="999"/>
      <c r="D29" s="999"/>
      <c r="E29" s="999"/>
    </row>
    <row r="31" spans="1:9" x14ac:dyDescent="0.25">
      <c r="A31" s="603" t="s">
        <v>1065</v>
      </c>
      <c r="B31" s="1003" t="s">
        <v>675</v>
      </c>
      <c r="C31" s="1003"/>
      <c r="D31" s="1003"/>
      <c r="E31" s="56" t="s">
        <v>676</v>
      </c>
      <c r="F31" s="6"/>
      <c r="G31" s="6"/>
      <c r="H31" s="6"/>
      <c r="I31" s="6"/>
    </row>
    <row r="32" spans="1:9"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B20:E20"/>
    <mergeCell ref="B21:E21"/>
    <mergeCell ref="B22:E22"/>
    <mergeCell ref="B23:E23"/>
    <mergeCell ref="G46:L46"/>
    <mergeCell ref="B35:D35"/>
    <mergeCell ref="H35:I35"/>
    <mergeCell ref="B36:D36"/>
    <mergeCell ref="B42:D42"/>
    <mergeCell ref="B44:D44"/>
    <mergeCell ref="B37:D37"/>
    <mergeCell ref="B38:D38"/>
    <mergeCell ref="B39:D39"/>
    <mergeCell ref="B40:D40"/>
    <mergeCell ref="B41:D41"/>
    <mergeCell ref="B33:D33"/>
    <mergeCell ref="H33:I33"/>
    <mergeCell ref="G40:I40"/>
    <mergeCell ref="B34:D34"/>
    <mergeCell ref="H34:I34"/>
    <mergeCell ref="G8:G10"/>
    <mergeCell ref="B8:E8"/>
    <mergeCell ref="B9:E9"/>
    <mergeCell ref="B10:E10"/>
    <mergeCell ref="Z5:AB5"/>
    <mergeCell ref="Z6:AA6"/>
    <mergeCell ref="Z8:AA8"/>
    <mergeCell ref="Z9:AA9"/>
    <mergeCell ref="Z10:AA10"/>
    <mergeCell ref="G7:H7"/>
    <mergeCell ref="B7:E7"/>
    <mergeCell ref="Z16:AA16"/>
    <mergeCell ref="Z11:AA11"/>
    <mergeCell ref="Z12:AA12"/>
    <mergeCell ref="Z13:AA13"/>
    <mergeCell ref="Z14:AA14"/>
    <mergeCell ref="Z15:AA15"/>
    <mergeCell ref="B31:D31"/>
    <mergeCell ref="B32:D32"/>
    <mergeCell ref="G32:I32"/>
    <mergeCell ref="B29:E29"/>
    <mergeCell ref="B16:E16"/>
    <mergeCell ref="B11:E11"/>
    <mergeCell ref="B12:E12"/>
    <mergeCell ref="B13:E13"/>
    <mergeCell ref="B14:E14"/>
    <mergeCell ref="B15:E15"/>
    <mergeCell ref="B28:E28"/>
    <mergeCell ref="B27:E27"/>
    <mergeCell ref="B17:E17"/>
    <mergeCell ref="B18:E18"/>
    <mergeCell ref="B24:E24"/>
    <mergeCell ref="B25:E25"/>
    <mergeCell ref="B26:E26"/>
    <mergeCell ref="B19:E19"/>
    <mergeCell ref="A1:E1"/>
    <mergeCell ref="B2:E2"/>
    <mergeCell ref="G2:H2"/>
    <mergeCell ref="B3:E3"/>
    <mergeCell ref="G3:H3"/>
    <mergeCell ref="G6:H6"/>
    <mergeCell ref="G4:H4"/>
    <mergeCell ref="G5:H5"/>
    <mergeCell ref="B4:E4"/>
    <mergeCell ref="B5:E5"/>
    <mergeCell ref="B6:E6"/>
  </mergeCells>
  <conditionalFormatting sqref="B5">
    <cfRule type="containsText" dxfId="74" priority="1" operator="containsText" text="Terminé">
      <formula>NOT(ISERROR(SEARCH("Terminé",B5)))</formula>
    </cfRule>
    <cfRule type="containsText" dxfId="73" priority="2" operator="containsText" text="En cours">
      <formula>NOT(ISERROR(SEARCH("En cours",B5)))</formula>
    </cfRule>
    <cfRule type="containsText" dxfId="7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9"/>
  <sheetViews>
    <sheetView zoomScaleNormal="10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31" ht="26.25" x14ac:dyDescent="0.4">
      <c r="A1" s="1001" t="s">
        <v>937</v>
      </c>
      <c r="B1" s="1001"/>
      <c r="C1" s="1001"/>
      <c r="D1" s="1001"/>
      <c r="E1" s="1001"/>
      <c r="F1" s="7"/>
      <c r="G1" s="7"/>
      <c r="H1" s="7"/>
    </row>
    <row r="2" spans="1:31" ht="19.5" customHeight="1" x14ac:dyDescent="0.25">
      <c r="A2" s="415" t="s">
        <v>750</v>
      </c>
      <c r="B2" s="1068" t="s">
        <v>790</v>
      </c>
      <c r="C2" s="1068"/>
      <c r="D2" s="1068"/>
      <c r="E2" s="1068"/>
      <c r="F2" s="7"/>
      <c r="G2" s="986" t="s">
        <v>751</v>
      </c>
      <c r="H2" s="986"/>
    </row>
    <row r="3" spans="1:31" ht="19.5" customHeight="1" x14ac:dyDescent="0.25">
      <c r="A3" s="409" t="s">
        <v>743</v>
      </c>
      <c r="B3" s="987" t="s">
        <v>748</v>
      </c>
      <c r="C3" s="987"/>
      <c r="D3" s="987"/>
      <c r="E3" s="987"/>
      <c r="F3" s="7"/>
      <c r="G3" s="986" t="s">
        <v>752</v>
      </c>
      <c r="H3" s="986"/>
    </row>
    <row r="4" spans="1:31" ht="19.5" customHeight="1" x14ac:dyDescent="0.25">
      <c r="A4" s="403" t="s">
        <v>292</v>
      </c>
      <c r="B4" s="996" t="s">
        <v>380</v>
      </c>
      <c r="C4" s="996"/>
      <c r="D4" s="996"/>
      <c r="E4" s="996"/>
      <c r="F4" s="7"/>
      <c r="G4" s="986" t="s">
        <v>753</v>
      </c>
      <c r="H4" s="986"/>
    </row>
    <row r="5" spans="1:31" ht="19.5" customHeight="1" x14ac:dyDescent="0.25">
      <c r="A5" s="403" t="s">
        <v>16</v>
      </c>
      <c r="B5" s="1015" t="s">
        <v>20</v>
      </c>
      <c r="C5" s="1015"/>
      <c r="D5" s="1015"/>
      <c r="E5" s="1015"/>
      <c r="F5" s="7"/>
      <c r="G5" s="986" t="s">
        <v>754</v>
      </c>
      <c r="H5" s="986"/>
    </row>
    <row r="6" spans="1:31" ht="19.5" customHeight="1" x14ac:dyDescent="0.25">
      <c r="A6" s="413" t="s">
        <v>474</v>
      </c>
      <c r="B6" s="993" t="s">
        <v>608</v>
      </c>
      <c r="C6" s="993"/>
      <c r="D6" s="993"/>
      <c r="E6" s="993"/>
      <c r="F6" s="7"/>
      <c r="G6" s="986" t="s">
        <v>755</v>
      </c>
      <c r="H6" s="986"/>
    </row>
    <row r="7" spans="1:31" ht="19.5" customHeight="1" x14ac:dyDescent="0.25">
      <c r="A7" s="253" t="s">
        <v>475</v>
      </c>
      <c r="B7" s="994" t="s">
        <v>608</v>
      </c>
      <c r="C7" s="994"/>
      <c r="D7" s="994"/>
      <c r="E7" s="994"/>
      <c r="F7" s="7"/>
      <c r="G7" s="995" t="s">
        <v>756</v>
      </c>
      <c r="H7" s="995"/>
      <c r="I7" s="400"/>
      <c r="J7" s="400"/>
    </row>
    <row r="8" spans="1:31" ht="24" customHeight="1" x14ac:dyDescent="0.25">
      <c r="A8" s="222" t="s">
        <v>1</v>
      </c>
      <c r="B8" s="967" t="s">
        <v>845</v>
      </c>
      <c r="C8" s="967"/>
      <c r="D8" s="967"/>
      <c r="E8" s="967"/>
      <c r="G8" s="997" t="s">
        <v>936</v>
      </c>
    </row>
    <row r="9" spans="1:31" ht="24" customHeight="1" x14ac:dyDescent="0.25">
      <c r="A9" s="222" t="s">
        <v>0</v>
      </c>
      <c r="B9" s="967"/>
      <c r="C9" s="967"/>
      <c r="D9" s="967"/>
      <c r="E9" s="967"/>
      <c r="G9" s="997"/>
      <c r="I9" s="60" t="s">
        <v>117</v>
      </c>
      <c r="J9" s="60" t="s">
        <v>118</v>
      </c>
    </row>
    <row r="10" spans="1:31" ht="36.75" customHeight="1" x14ac:dyDescent="0.25">
      <c r="A10" s="222" t="s">
        <v>2</v>
      </c>
      <c r="B10" s="1034"/>
      <c r="C10" s="1034"/>
      <c r="D10" s="1034"/>
      <c r="E10" s="1034"/>
      <c r="G10" s="997"/>
      <c r="H10" s="7"/>
      <c r="I10" s="60">
        <v>0.7</v>
      </c>
      <c r="J10" s="60">
        <v>0.26819999999999999</v>
      </c>
      <c r="K10" s="7"/>
      <c r="L10" s="7"/>
      <c r="M10" s="7"/>
    </row>
    <row r="11" spans="1:31" ht="35.25" customHeight="1" x14ac:dyDescent="0.25">
      <c r="A11" s="222" t="s">
        <v>29</v>
      </c>
      <c r="B11" s="1035"/>
      <c r="C11" s="1035"/>
      <c r="D11" s="1035"/>
      <c r="E11" s="1035"/>
      <c r="G11" s="225"/>
      <c r="H11" s="131" t="s">
        <v>529</v>
      </c>
      <c r="I11" s="60" t="s">
        <v>846</v>
      </c>
      <c r="J11" s="60" t="s">
        <v>847</v>
      </c>
      <c r="K11" s="60" t="s">
        <v>848</v>
      </c>
    </row>
    <row r="12" spans="1:31" ht="30" customHeight="1" x14ac:dyDescent="0.25">
      <c r="A12" s="222" t="s">
        <v>14</v>
      </c>
      <c r="B12" s="1010" t="s">
        <v>939</v>
      </c>
      <c r="C12" s="1010"/>
      <c r="D12" s="1010"/>
      <c r="E12" s="1010"/>
      <c r="G12" s="56">
        <f>SUM(K17:K30)</f>
        <v>0</v>
      </c>
      <c r="H12" s="185" t="s">
        <v>522</v>
      </c>
      <c r="I12" s="476">
        <f>+G11/100</f>
        <v>0</v>
      </c>
      <c r="J12" s="476">
        <v>1.1399999999999999</v>
      </c>
      <c r="K12" s="476">
        <v>30</v>
      </c>
    </row>
    <row r="13" spans="1:31" ht="30" customHeight="1" x14ac:dyDescent="0.25">
      <c r="A13" s="222" t="s">
        <v>3</v>
      </c>
      <c r="B13" s="1011" t="s">
        <v>943</v>
      </c>
      <c r="C13" s="1011"/>
      <c r="D13" s="1011"/>
      <c r="E13" s="1011"/>
      <c r="G13" s="56">
        <f>SUM(L17:L30)</f>
        <v>0</v>
      </c>
      <c r="H13" s="56" t="s">
        <v>523</v>
      </c>
      <c r="AB13" s="358">
        <f>AB15/0.55</f>
        <v>0</v>
      </c>
    </row>
    <row r="14" spans="1:31" ht="30" customHeight="1" thickBot="1" x14ac:dyDescent="0.3">
      <c r="A14" s="222" t="s">
        <v>15</v>
      </c>
      <c r="B14" s="1010"/>
      <c r="C14" s="1010"/>
      <c r="D14" s="1010"/>
      <c r="E14" s="1010"/>
    </row>
    <row r="15" spans="1:31" ht="30" customHeight="1" thickTop="1" x14ac:dyDescent="0.25">
      <c r="A15" s="222" t="s">
        <v>4</v>
      </c>
      <c r="B15" s="1010"/>
      <c r="C15" s="1010"/>
      <c r="D15" s="1010"/>
      <c r="E15" s="1010"/>
      <c r="G15" s="1075" t="s">
        <v>936</v>
      </c>
      <c r="H15" s="1076"/>
      <c r="I15" s="1076"/>
      <c r="J15" s="1076"/>
      <c r="K15" s="1076"/>
      <c r="L15" s="1077"/>
      <c r="M15" s="231"/>
      <c r="N15" s="231"/>
      <c r="O15" s="231"/>
      <c r="P15" s="231"/>
      <c r="Q15" s="231"/>
      <c r="R15" s="231"/>
      <c r="S15" s="231"/>
      <c r="T15" s="231"/>
      <c r="U15" s="231"/>
      <c r="V15" s="231"/>
      <c r="W15" s="231"/>
      <c r="X15" s="231"/>
      <c r="Y15" s="231"/>
      <c r="Z15" s="231"/>
      <c r="AA15" s="231"/>
      <c r="AB15" s="231"/>
      <c r="AC15" s="231"/>
      <c r="AD15" s="231"/>
      <c r="AE15" s="231"/>
    </row>
    <row r="16" spans="1:31" ht="30" customHeight="1" x14ac:dyDescent="0.25">
      <c r="A16" s="222" t="s">
        <v>5</v>
      </c>
      <c r="B16" s="1010"/>
      <c r="C16" s="1010"/>
      <c r="D16" s="1010"/>
      <c r="E16" s="1010"/>
      <c r="G16" s="246" t="s">
        <v>517</v>
      </c>
      <c r="H16" s="247" t="s">
        <v>526</v>
      </c>
      <c r="I16" s="247" t="s">
        <v>527</v>
      </c>
      <c r="J16" s="249" t="s">
        <v>524</v>
      </c>
      <c r="K16" s="247" t="s">
        <v>520</v>
      </c>
      <c r="L16" s="248" t="s">
        <v>200</v>
      </c>
      <c r="M16" s="231"/>
      <c r="N16" s="231"/>
      <c r="O16" s="231"/>
      <c r="P16" s="231"/>
      <c r="Q16" s="231"/>
      <c r="R16" s="231"/>
      <c r="S16" s="231"/>
      <c r="T16" s="231"/>
      <c r="U16" s="231"/>
      <c r="V16" s="231"/>
      <c r="W16" s="231"/>
      <c r="X16" s="231"/>
      <c r="Y16" s="231"/>
      <c r="Z16" s="231"/>
      <c r="AA16" s="231"/>
      <c r="AB16" s="231"/>
      <c r="AC16" s="231"/>
      <c r="AD16" s="231"/>
      <c r="AE16" s="231"/>
    </row>
    <row r="17" spans="1:31" ht="30" customHeight="1" x14ac:dyDescent="0.25">
      <c r="A17" s="222" t="s">
        <v>6</v>
      </c>
      <c r="B17" s="1087"/>
      <c r="C17" s="1087"/>
      <c r="D17" s="1087"/>
      <c r="E17" s="1087"/>
      <c r="G17" s="238"/>
      <c r="H17" s="237">
        <v>120840</v>
      </c>
      <c r="I17" s="234"/>
      <c r="J17" s="214"/>
      <c r="K17" s="234"/>
      <c r="L17" s="239"/>
      <c r="M17" s="231"/>
      <c r="N17" s="231"/>
      <c r="O17" s="231"/>
      <c r="P17" s="231"/>
      <c r="Q17" s="231"/>
      <c r="R17" s="231"/>
      <c r="S17" s="231"/>
      <c r="T17" s="231"/>
      <c r="U17" s="231"/>
      <c r="V17" s="231"/>
      <c r="W17" s="231"/>
      <c r="X17" s="231"/>
      <c r="Y17" s="231"/>
      <c r="Z17" s="231"/>
      <c r="AA17" s="231"/>
      <c r="AB17" s="231"/>
      <c r="AC17" s="231"/>
      <c r="AD17" s="231"/>
      <c r="AE17" s="231"/>
    </row>
    <row r="18" spans="1:31" ht="30" customHeight="1" x14ac:dyDescent="0.25">
      <c r="A18" s="222" t="s">
        <v>7</v>
      </c>
      <c r="B18" s="1087"/>
      <c r="C18" s="1087"/>
      <c r="D18" s="1087"/>
      <c r="E18" s="1087"/>
      <c r="G18" s="238"/>
      <c r="H18" s="237"/>
      <c r="I18" s="234"/>
      <c r="J18" s="214"/>
      <c r="K18" s="234"/>
      <c r="L18" s="239"/>
      <c r="M18" s="231"/>
      <c r="N18" s="231"/>
      <c r="O18" s="231"/>
      <c r="P18" s="231"/>
      <c r="Q18" s="231"/>
      <c r="R18" s="231"/>
      <c r="S18" s="231"/>
      <c r="T18" s="231"/>
      <c r="U18" s="231"/>
      <c r="V18" s="231"/>
      <c r="W18" s="231"/>
      <c r="X18" s="231"/>
      <c r="Y18" s="231"/>
      <c r="Z18" s="231"/>
      <c r="AA18" s="231"/>
      <c r="AB18" s="231"/>
      <c r="AC18" s="231"/>
      <c r="AD18" s="231"/>
      <c r="AE18" s="231"/>
    </row>
    <row r="19" spans="1:31" ht="30" customHeight="1" x14ac:dyDescent="0.25">
      <c r="A19" s="99" t="s">
        <v>307</v>
      </c>
      <c r="B19" s="1039">
        <f>+G11*10</f>
        <v>0</v>
      </c>
      <c r="C19" s="1040"/>
      <c r="D19" s="1040"/>
      <c r="E19" s="1040"/>
      <c r="F19" s="33"/>
      <c r="G19" s="240"/>
      <c r="H19" s="237"/>
      <c r="I19" s="234"/>
      <c r="J19" s="214"/>
      <c r="K19" s="234"/>
      <c r="L19" s="239"/>
      <c r="M19" s="231"/>
      <c r="N19" s="231"/>
      <c r="O19" s="231"/>
      <c r="P19" s="231"/>
      <c r="Q19" s="231"/>
      <c r="R19" s="231"/>
      <c r="S19" s="231"/>
      <c r="T19" s="231"/>
      <c r="U19" s="231"/>
      <c r="V19" s="231"/>
      <c r="W19" s="231"/>
      <c r="X19" s="231"/>
      <c r="Y19" s="231"/>
      <c r="Z19" s="231"/>
      <c r="AA19" s="231"/>
      <c r="AB19" s="231"/>
      <c r="AC19" s="231"/>
      <c r="AD19" s="231"/>
      <c r="AE19" s="231"/>
    </row>
    <row r="20" spans="1:31" ht="30" customHeight="1" x14ac:dyDescent="0.25">
      <c r="A20" s="96" t="s">
        <v>306</v>
      </c>
      <c r="B20" s="1041">
        <f>+G11*10</f>
        <v>0</v>
      </c>
      <c r="C20" s="1042"/>
      <c r="D20" s="1042"/>
      <c r="E20" s="1042"/>
      <c r="G20" s="238"/>
      <c r="H20" s="237"/>
      <c r="I20" s="234"/>
      <c r="J20" s="214"/>
      <c r="K20" s="234"/>
      <c r="L20" s="239"/>
      <c r="M20" s="231"/>
      <c r="N20" s="231"/>
      <c r="O20" s="231"/>
      <c r="P20" s="231"/>
      <c r="Q20" s="231"/>
      <c r="R20" s="231"/>
      <c r="S20" s="231"/>
      <c r="T20" s="231"/>
      <c r="U20" s="231"/>
      <c r="V20" s="231"/>
      <c r="W20" s="231"/>
      <c r="X20" s="231"/>
      <c r="Y20" s="231"/>
      <c r="Z20" s="231"/>
      <c r="AA20" s="231"/>
      <c r="AB20" s="231"/>
      <c r="AC20" s="231"/>
      <c r="AD20" s="231"/>
      <c r="AE20" s="231"/>
    </row>
    <row r="21" spans="1:31" ht="30" customHeight="1" x14ac:dyDescent="0.25">
      <c r="A21" s="222" t="s">
        <v>8</v>
      </c>
      <c r="B21" s="1000">
        <f>B20/10*I10-I12*K12</f>
        <v>0</v>
      </c>
      <c r="C21" s="1000"/>
      <c r="D21" s="1000"/>
      <c r="E21" s="1000"/>
      <c r="G21" s="238"/>
      <c r="H21" s="237"/>
      <c r="I21" s="234"/>
      <c r="J21" s="214"/>
      <c r="K21" s="234"/>
      <c r="L21" s="239"/>
      <c r="M21" s="231"/>
      <c r="N21" s="231"/>
      <c r="O21" s="231"/>
      <c r="P21" s="231"/>
      <c r="Q21" s="231"/>
      <c r="R21" s="231"/>
      <c r="S21" s="231"/>
      <c r="T21" s="231"/>
      <c r="U21" s="231"/>
      <c r="V21" s="231"/>
      <c r="W21" s="231"/>
      <c r="X21" s="231"/>
      <c r="Y21" s="231"/>
      <c r="Z21" s="231"/>
      <c r="AA21" s="231"/>
      <c r="AB21" s="231"/>
      <c r="AC21" s="231"/>
      <c r="AD21" s="231"/>
      <c r="AE21" s="231"/>
    </row>
    <row r="22" spans="1:31" ht="30" customHeight="1" x14ac:dyDescent="0.25">
      <c r="A22" s="222" t="s">
        <v>9</v>
      </c>
      <c r="B22" s="1000">
        <f>B20/1000*L11*4</f>
        <v>0</v>
      </c>
      <c r="C22" s="1000"/>
      <c r="D22" s="1000"/>
      <c r="E22" s="1000"/>
      <c r="G22" s="238"/>
      <c r="H22" s="237"/>
      <c r="I22" s="234"/>
      <c r="J22" s="214"/>
      <c r="K22" s="234"/>
      <c r="L22" s="239"/>
      <c r="M22" s="231"/>
      <c r="N22" s="231"/>
      <c r="O22" s="231"/>
      <c r="P22" s="231"/>
      <c r="Q22" s="231"/>
      <c r="R22" s="231"/>
      <c r="S22" s="231"/>
      <c r="T22" s="231"/>
      <c r="U22" s="231"/>
      <c r="V22" s="231"/>
      <c r="W22" s="231"/>
      <c r="X22" s="231"/>
      <c r="Y22" s="231"/>
      <c r="Z22" s="231"/>
      <c r="AA22" s="231"/>
      <c r="AB22" s="231"/>
      <c r="AC22" s="231"/>
      <c r="AD22" s="231"/>
      <c r="AE22" s="231"/>
    </row>
    <row r="23" spans="1:31" ht="30" customHeight="1" x14ac:dyDescent="0.25">
      <c r="A23" s="222" t="s">
        <v>301</v>
      </c>
      <c r="B23" s="1016" t="e">
        <f>B17/(B21+B22)</f>
        <v>#DIV/0!</v>
      </c>
      <c r="C23" s="1016"/>
      <c r="D23" s="1016"/>
      <c r="E23" s="1016"/>
      <c r="G23" s="238"/>
      <c r="H23" s="237"/>
      <c r="I23" s="234"/>
      <c r="J23" s="214"/>
      <c r="K23" s="234"/>
      <c r="L23" s="239"/>
      <c r="M23" s="231"/>
      <c r="N23" s="231"/>
      <c r="O23" s="231"/>
      <c r="P23" s="231"/>
      <c r="Q23" s="231"/>
      <c r="R23" s="231"/>
      <c r="S23" s="231"/>
      <c r="T23" s="231"/>
      <c r="U23" s="231"/>
      <c r="V23" s="231"/>
      <c r="W23" s="231"/>
      <c r="X23" s="231"/>
      <c r="Y23" s="231"/>
      <c r="Z23" s="231"/>
      <c r="AA23" s="231"/>
      <c r="AB23" s="231"/>
      <c r="AC23" s="231"/>
      <c r="AD23" s="231"/>
      <c r="AE23" s="231"/>
    </row>
    <row r="24" spans="1:31" ht="30" customHeight="1" x14ac:dyDescent="0.25">
      <c r="A24" s="222" t="s">
        <v>302</v>
      </c>
      <c r="B24" s="1017" t="e">
        <f>(B17-B18)/(B21+B22)</f>
        <v>#DIV/0!</v>
      </c>
      <c r="C24" s="1017"/>
      <c r="D24" s="1017"/>
      <c r="E24" s="1017"/>
      <c r="G24" s="238"/>
      <c r="H24" s="237"/>
      <c r="I24" s="234"/>
      <c r="J24" s="214"/>
      <c r="K24" s="234"/>
      <c r="L24" s="239"/>
      <c r="M24" s="231"/>
      <c r="N24" s="231"/>
      <c r="O24" s="231"/>
      <c r="P24" s="231"/>
      <c r="Q24" s="231"/>
      <c r="R24" s="231"/>
      <c r="S24" s="231"/>
      <c r="T24" s="231"/>
      <c r="U24" s="231"/>
      <c r="V24" s="231"/>
      <c r="W24" s="231"/>
      <c r="X24" s="231"/>
      <c r="Y24" s="231"/>
      <c r="Z24" s="231"/>
      <c r="AA24" s="231"/>
      <c r="AB24" s="231"/>
      <c r="AC24" s="231"/>
      <c r="AD24" s="231"/>
      <c r="AE24" s="231"/>
    </row>
    <row r="25" spans="1:31" ht="30" customHeight="1" x14ac:dyDescent="0.25">
      <c r="A25" s="100" t="s">
        <v>305</v>
      </c>
      <c r="B25" s="1070">
        <f>B19/1000*J10</f>
        <v>0</v>
      </c>
      <c r="C25" s="1070"/>
      <c r="D25" s="1070"/>
      <c r="E25" s="1070"/>
      <c r="G25" s="238"/>
      <c r="H25" s="237"/>
      <c r="I25" s="234"/>
      <c r="J25" s="214"/>
      <c r="K25" s="234"/>
      <c r="L25" s="239"/>
      <c r="M25" s="231"/>
      <c r="N25" s="231"/>
      <c r="O25" s="231"/>
      <c r="P25" s="231"/>
      <c r="Q25" s="231"/>
      <c r="R25" s="231"/>
      <c r="S25" s="231"/>
      <c r="T25" s="231"/>
      <c r="U25" s="231"/>
      <c r="V25" s="231"/>
      <c r="W25" s="231"/>
      <c r="X25" s="231"/>
      <c r="Y25" s="231"/>
      <c r="Z25" s="231"/>
      <c r="AA25" s="231"/>
      <c r="AB25" s="231"/>
      <c r="AC25" s="231"/>
      <c r="AD25" s="231"/>
      <c r="AE25" s="231"/>
    </row>
    <row r="26" spans="1:31" ht="30" customHeight="1" x14ac:dyDescent="0.25">
      <c r="A26" s="101" t="s">
        <v>303</v>
      </c>
      <c r="B26" s="1071">
        <f>B25/'Objectifs CO2'!C6</f>
        <v>0</v>
      </c>
      <c r="C26" s="1071"/>
      <c r="D26" s="1071"/>
      <c r="E26" s="1071"/>
      <c r="G26" s="238"/>
      <c r="H26" s="237"/>
      <c r="I26" s="234"/>
      <c r="J26" s="214"/>
      <c r="K26" s="234"/>
      <c r="L26" s="239"/>
      <c r="M26" s="231"/>
      <c r="N26" s="231"/>
      <c r="O26" s="231"/>
      <c r="P26" s="231"/>
      <c r="Q26" s="231"/>
      <c r="R26" s="231"/>
      <c r="S26" s="231"/>
      <c r="T26" s="231"/>
      <c r="U26" s="231"/>
      <c r="V26" s="231"/>
      <c r="W26" s="231"/>
      <c r="X26" s="231"/>
      <c r="Y26" s="231"/>
      <c r="Z26" s="231"/>
      <c r="AA26" s="231"/>
      <c r="AB26" s="231"/>
      <c r="AC26" s="231"/>
      <c r="AD26" s="231"/>
      <c r="AE26" s="231"/>
    </row>
    <row r="27" spans="1:31" ht="30" customHeight="1" x14ac:dyDescent="0.25">
      <c r="A27" s="101" t="s">
        <v>304</v>
      </c>
      <c r="B27" s="1056">
        <f>B25/'Objectifs CO2'!C4</f>
        <v>0</v>
      </c>
      <c r="C27" s="1057"/>
      <c r="D27" s="1057"/>
      <c r="E27" s="1057"/>
      <c r="G27" s="241"/>
      <c r="H27" s="237"/>
      <c r="I27" s="234"/>
      <c r="J27" s="214"/>
      <c r="K27" s="234"/>
      <c r="L27" s="239"/>
      <c r="M27" s="231"/>
      <c r="N27" s="231"/>
      <c r="O27" s="231"/>
      <c r="P27" s="231"/>
      <c r="Q27" s="231"/>
      <c r="R27" s="231"/>
      <c r="S27" s="231"/>
      <c r="T27" s="231"/>
      <c r="U27" s="231"/>
      <c r="V27" s="231"/>
      <c r="W27" s="231"/>
      <c r="X27" s="231"/>
      <c r="Y27" s="231"/>
      <c r="Z27" s="231"/>
      <c r="AA27" s="231"/>
      <c r="AB27" s="231"/>
      <c r="AC27" s="231"/>
      <c r="AD27" s="231"/>
      <c r="AE27" s="231"/>
    </row>
    <row r="28" spans="1:31" ht="30" customHeight="1" x14ac:dyDescent="0.25">
      <c r="A28" s="101" t="s">
        <v>22</v>
      </c>
      <c r="B28" s="999" t="s">
        <v>10</v>
      </c>
      <c r="C28" s="999"/>
      <c r="D28" s="999"/>
      <c r="E28" s="999"/>
      <c r="G28" s="242"/>
      <c r="H28" s="234"/>
      <c r="I28" s="234"/>
      <c r="J28" s="214"/>
      <c r="K28" s="234"/>
      <c r="L28" s="239"/>
      <c r="M28" s="231"/>
      <c r="N28" s="231"/>
      <c r="O28" s="231"/>
      <c r="P28" s="231"/>
      <c r="Q28" s="231"/>
      <c r="R28" s="231"/>
      <c r="S28" s="231"/>
      <c r="T28" s="231"/>
      <c r="U28" s="231"/>
      <c r="V28" s="231"/>
      <c r="W28" s="231"/>
      <c r="X28" s="231"/>
      <c r="Y28" s="231"/>
      <c r="Z28" s="231"/>
      <c r="AA28" s="231"/>
      <c r="AB28" s="231"/>
      <c r="AC28" s="231"/>
      <c r="AD28" s="231"/>
      <c r="AE28" s="231"/>
    </row>
    <row r="29" spans="1:31" ht="30" customHeight="1" x14ac:dyDescent="0.25">
      <c r="A29" s="101" t="s">
        <v>257</v>
      </c>
      <c r="B29" s="999"/>
      <c r="C29" s="999"/>
      <c r="D29" s="999"/>
      <c r="E29" s="999"/>
      <c r="G29" s="242"/>
      <c r="H29" s="234"/>
      <c r="I29" s="234"/>
      <c r="J29" s="214"/>
      <c r="K29" s="234"/>
      <c r="L29" s="239"/>
      <c r="M29" s="231"/>
      <c r="N29" s="231"/>
      <c r="O29" s="231"/>
      <c r="P29" s="231"/>
      <c r="Q29" s="231"/>
      <c r="R29" s="231"/>
      <c r="S29" s="231"/>
      <c r="T29" s="231"/>
      <c r="U29" s="231"/>
      <c r="V29" s="231"/>
      <c r="W29" s="231"/>
      <c r="X29" s="231"/>
      <c r="Y29" s="231"/>
      <c r="Z29" s="231"/>
      <c r="AA29" s="231"/>
      <c r="AB29" s="231"/>
      <c r="AC29" s="231"/>
      <c r="AD29" s="231"/>
      <c r="AE29" s="231"/>
    </row>
    <row r="30" spans="1:31" ht="15.75" thickBot="1" x14ac:dyDescent="0.3">
      <c r="G30" s="243"/>
      <c r="H30" s="244"/>
      <c r="I30" s="244"/>
      <c r="J30" s="250"/>
      <c r="K30" s="244"/>
      <c r="L30" s="245"/>
      <c r="M30" s="231"/>
      <c r="N30" s="231"/>
      <c r="O30" s="231"/>
      <c r="P30" s="231"/>
      <c r="Q30" s="231"/>
      <c r="R30" s="231"/>
      <c r="S30" s="231"/>
      <c r="T30" s="231"/>
      <c r="U30" s="231"/>
      <c r="V30" s="231"/>
      <c r="W30" s="231"/>
      <c r="X30" s="231"/>
      <c r="Y30" s="231"/>
      <c r="Z30" s="231"/>
      <c r="AA30" s="231"/>
      <c r="AB30" s="231"/>
      <c r="AC30" s="231"/>
      <c r="AD30" s="231"/>
      <c r="AE30" s="231"/>
    </row>
    <row r="31" spans="1:31" ht="15.75" thickTop="1" x14ac:dyDescent="0.25">
      <c r="A31" s="603" t="s">
        <v>1065</v>
      </c>
      <c r="B31" s="1003" t="s">
        <v>675</v>
      </c>
      <c r="C31" s="1003"/>
      <c r="D31" s="1003"/>
      <c r="E31" s="56" t="s">
        <v>676</v>
      </c>
      <c r="J31" s="231"/>
      <c r="K31" s="231"/>
      <c r="L31" s="231"/>
      <c r="M31" s="231"/>
      <c r="N31" s="231"/>
      <c r="O31" s="231"/>
      <c r="P31" s="231"/>
      <c r="Q31" s="231"/>
      <c r="R31" s="231"/>
      <c r="S31" s="231"/>
      <c r="T31" s="231"/>
      <c r="U31" s="231"/>
      <c r="V31" s="231"/>
      <c r="W31" s="231"/>
      <c r="X31" s="231"/>
      <c r="Y31" s="231"/>
      <c r="Z31" s="231"/>
      <c r="AA31" s="231"/>
      <c r="AB31" s="231"/>
      <c r="AC31" s="231"/>
      <c r="AD31" s="231"/>
      <c r="AE31" s="231"/>
    </row>
    <row r="32" spans="1:31" x14ac:dyDescent="0.25">
      <c r="A32" s="377"/>
      <c r="B32" s="992" t="s">
        <v>677</v>
      </c>
      <c r="C32" s="992"/>
      <c r="D32" s="992"/>
      <c r="E32" s="374"/>
      <c r="G32" s="1004" t="s">
        <v>676</v>
      </c>
      <c r="H32" s="1004"/>
      <c r="I32" s="1004"/>
      <c r="J32" s="231"/>
      <c r="K32" s="231"/>
      <c r="L32" s="231"/>
      <c r="M32" s="231"/>
      <c r="N32" s="231"/>
      <c r="O32" s="231"/>
      <c r="P32" s="231"/>
      <c r="Q32" s="231"/>
      <c r="R32" s="231"/>
      <c r="S32" s="231"/>
      <c r="T32" s="231"/>
      <c r="U32" s="231"/>
      <c r="V32" s="231"/>
      <c r="W32" s="231"/>
      <c r="X32" s="231"/>
      <c r="Y32" s="231"/>
      <c r="Z32" s="231"/>
      <c r="AA32" s="231"/>
      <c r="AB32" s="231"/>
      <c r="AC32" s="231"/>
      <c r="AD32" s="231"/>
      <c r="AE32" s="231"/>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0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11:E11"/>
    <mergeCell ref="B12:E12"/>
    <mergeCell ref="B13:E13"/>
    <mergeCell ref="G46:L46"/>
    <mergeCell ref="A47:A51"/>
    <mergeCell ref="B47:F47"/>
    <mergeCell ref="G47:L47"/>
    <mergeCell ref="B48:F48"/>
    <mergeCell ref="G48:L48"/>
    <mergeCell ref="B49:F49"/>
    <mergeCell ref="G49:L49"/>
    <mergeCell ref="B50:F50"/>
    <mergeCell ref="G50:L50"/>
    <mergeCell ref="B51:F51"/>
    <mergeCell ref="G51:L51"/>
    <mergeCell ref="B42:D42"/>
    <mergeCell ref="B44:D44"/>
    <mergeCell ref="B37:D37"/>
    <mergeCell ref="B38:D38"/>
    <mergeCell ref="B39:D39"/>
    <mergeCell ref="B40:D40"/>
    <mergeCell ref="B41:D41"/>
    <mergeCell ref="B32:D32"/>
    <mergeCell ref="B22:E22"/>
    <mergeCell ref="B8:E8"/>
    <mergeCell ref="G8:G10"/>
    <mergeCell ref="G6:H6"/>
    <mergeCell ref="B4:E4"/>
    <mergeCell ref="B5:E5"/>
    <mergeCell ref="B6:E6"/>
    <mergeCell ref="B7:E7"/>
    <mergeCell ref="G7:H7"/>
    <mergeCell ref="B10:E10"/>
    <mergeCell ref="B9:E9"/>
    <mergeCell ref="B23:E23"/>
    <mergeCell ref="B24:E24"/>
    <mergeCell ref="B25:E25"/>
    <mergeCell ref="B26:E26"/>
    <mergeCell ref="B27:E27"/>
    <mergeCell ref="B33:D33"/>
    <mergeCell ref="B28:E28"/>
    <mergeCell ref="B29:E29"/>
    <mergeCell ref="B31:D31"/>
    <mergeCell ref="A1:E1"/>
    <mergeCell ref="B2:E2"/>
    <mergeCell ref="G2:H2"/>
    <mergeCell ref="B3:E3"/>
    <mergeCell ref="G3:H3"/>
    <mergeCell ref="G40:I40"/>
    <mergeCell ref="B34:D34"/>
    <mergeCell ref="H34:I34"/>
    <mergeCell ref="B35:D35"/>
    <mergeCell ref="H35:I35"/>
    <mergeCell ref="B36:D36"/>
    <mergeCell ref="G32:I32"/>
    <mergeCell ref="H33:I33"/>
    <mergeCell ref="B16:E16"/>
    <mergeCell ref="B17:E17"/>
    <mergeCell ref="B18:E18"/>
    <mergeCell ref="B14:E14"/>
    <mergeCell ref="B15:E15"/>
    <mergeCell ref="B19:E19"/>
    <mergeCell ref="B20:E20"/>
    <mergeCell ref="B21:E21"/>
    <mergeCell ref="G15:L15"/>
    <mergeCell ref="G4:H4"/>
    <mergeCell ref="G5:H5"/>
  </mergeCells>
  <conditionalFormatting sqref="B5">
    <cfRule type="containsText" dxfId="71" priority="1" operator="containsText" text="Terminé">
      <formula>NOT(ISERROR(SEARCH("Terminé",B5)))</formula>
    </cfRule>
    <cfRule type="containsText" dxfId="70" priority="2" operator="containsText" text="En cours">
      <formula>NOT(ISERROR(SEARCH("En cours",B5)))</formula>
    </cfRule>
    <cfRule type="containsText" dxfId="6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9"/>
  <sheetViews>
    <sheetView topLeftCell="B1"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31" ht="26.25" x14ac:dyDescent="0.4">
      <c r="A1" s="1001" t="s">
        <v>937</v>
      </c>
      <c r="B1" s="1001"/>
      <c r="C1" s="1001"/>
      <c r="D1" s="1001"/>
      <c r="E1" s="1001"/>
      <c r="F1" s="7"/>
      <c r="G1" s="7"/>
      <c r="H1" s="7"/>
    </row>
    <row r="2" spans="1:31" ht="19.5" customHeight="1" x14ac:dyDescent="0.25">
      <c r="A2" s="415" t="s">
        <v>750</v>
      </c>
      <c r="B2" s="1068" t="s">
        <v>849</v>
      </c>
      <c r="C2" s="1068"/>
      <c r="D2" s="1068"/>
      <c r="E2" s="1068"/>
      <c r="F2" s="7"/>
      <c r="G2" s="986" t="s">
        <v>751</v>
      </c>
      <c r="H2" s="986"/>
    </row>
    <row r="3" spans="1:31" ht="19.5" customHeight="1" x14ac:dyDescent="0.25">
      <c r="A3" s="473" t="s">
        <v>743</v>
      </c>
      <c r="B3" s="987" t="s">
        <v>748</v>
      </c>
      <c r="C3" s="987"/>
      <c r="D3" s="987"/>
      <c r="E3" s="987"/>
      <c r="F3" s="7"/>
      <c r="G3" s="986" t="s">
        <v>752</v>
      </c>
      <c r="H3" s="986"/>
    </row>
    <row r="4" spans="1:31" ht="19.5" customHeight="1" x14ac:dyDescent="0.25">
      <c r="A4" s="474" t="s">
        <v>292</v>
      </c>
      <c r="B4" s="996" t="s">
        <v>54</v>
      </c>
      <c r="C4" s="996"/>
      <c r="D4" s="996"/>
      <c r="E4" s="996"/>
      <c r="F4" s="7"/>
      <c r="G4" s="986" t="s">
        <v>753</v>
      </c>
      <c r="H4" s="986"/>
    </row>
    <row r="5" spans="1:31" ht="19.5" customHeight="1" x14ac:dyDescent="0.25">
      <c r="A5" s="474" t="s">
        <v>16</v>
      </c>
      <c r="B5" s="1015" t="s">
        <v>20</v>
      </c>
      <c r="C5" s="1015"/>
      <c r="D5" s="1015"/>
      <c r="E5" s="1015"/>
      <c r="F5" s="7"/>
      <c r="G5" s="986" t="s">
        <v>754</v>
      </c>
      <c r="H5" s="986"/>
    </row>
    <row r="6" spans="1:31" ht="19.5" customHeight="1" x14ac:dyDescent="0.25">
      <c r="A6" s="413" t="s">
        <v>474</v>
      </c>
      <c r="B6" s="993" t="s">
        <v>608</v>
      </c>
      <c r="C6" s="993"/>
      <c r="D6" s="993"/>
      <c r="E6" s="993"/>
      <c r="F6" s="7"/>
      <c r="G6" s="986" t="s">
        <v>755</v>
      </c>
      <c r="H6" s="986"/>
    </row>
    <row r="7" spans="1:31" ht="19.5" customHeight="1" x14ac:dyDescent="0.25">
      <c r="A7" s="253" t="s">
        <v>475</v>
      </c>
      <c r="B7" s="994" t="s">
        <v>608</v>
      </c>
      <c r="C7" s="994"/>
      <c r="D7" s="994"/>
      <c r="E7" s="994"/>
      <c r="F7" s="7"/>
      <c r="G7" s="995" t="s">
        <v>756</v>
      </c>
      <c r="H7" s="995"/>
      <c r="I7" s="475"/>
      <c r="J7" s="475"/>
    </row>
    <row r="8" spans="1:31" ht="24" customHeight="1" x14ac:dyDescent="0.25">
      <c r="A8" s="477" t="s">
        <v>1</v>
      </c>
      <c r="B8" s="967" t="s">
        <v>832</v>
      </c>
      <c r="C8" s="967"/>
      <c r="D8" s="967"/>
      <c r="E8" s="967"/>
      <c r="G8" s="997" t="s">
        <v>936</v>
      </c>
    </row>
    <row r="9" spans="1:31" ht="24" customHeight="1" x14ac:dyDescent="0.25">
      <c r="A9" s="477" t="s">
        <v>0</v>
      </c>
      <c r="B9" s="967" t="s">
        <v>850</v>
      </c>
      <c r="C9" s="967"/>
      <c r="D9" s="967"/>
      <c r="E9" s="967"/>
      <c r="G9" s="997"/>
      <c r="I9" s="60" t="s">
        <v>117</v>
      </c>
      <c r="J9" s="60" t="s">
        <v>118</v>
      </c>
    </row>
    <row r="10" spans="1:31" ht="36.75" customHeight="1" x14ac:dyDescent="0.25">
      <c r="A10" s="477" t="s">
        <v>2</v>
      </c>
      <c r="B10" s="1034"/>
      <c r="C10" s="1034"/>
      <c r="D10" s="1034"/>
      <c r="E10" s="1034"/>
      <c r="G10" s="997"/>
      <c r="H10" s="7"/>
      <c r="I10" s="60">
        <v>0.7</v>
      </c>
      <c r="J10" s="60">
        <v>0.26819999999999999</v>
      </c>
      <c r="K10" s="7"/>
      <c r="L10" s="7"/>
      <c r="M10" s="7"/>
    </row>
    <row r="11" spans="1:31" ht="35.25" customHeight="1" x14ac:dyDescent="0.25">
      <c r="A11" s="477" t="s">
        <v>29</v>
      </c>
      <c r="B11" s="1034"/>
      <c r="C11" s="1035"/>
      <c r="D11" s="1035"/>
      <c r="E11" s="1035"/>
      <c r="G11" s="225">
        <f>+H17</f>
        <v>0</v>
      </c>
      <c r="H11" s="131" t="s">
        <v>529</v>
      </c>
      <c r="I11" s="60" t="s">
        <v>846</v>
      </c>
      <c r="J11" s="60" t="s">
        <v>847</v>
      </c>
      <c r="K11" s="60" t="s">
        <v>848</v>
      </c>
    </row>
    <row r="12" spans="1:31" ht="30" customHeight="1" x14ac:dyDescent="0.25">
      <c r="A12" s="477" t="s">
        <v>14</v>
      </c>
      <c r="B12" s="1010" t="s">
        <v>54</v>
      </c>
      <c r="C12" s="1010"/>
      <c r="D12" s="1010"/>
      <c r="E12" s="1010"/>
      <c r="G12" s="470">
        <f>SUM(K17:K30)</f>
        <v>0</v>
      </c>
      <c r="H12" s="185" t="s">
        <v>522</v>
      </c>
      <c r="I12" s="476">
        <f>+G11/100</f>
        <v>0</v>
      </c>
      <c r="J12" s="476">
        <v>1.1399999999999999</v>
      </c>
      <c r="K12" s="476">
        <v>30</v>
      </c>
    </row>
    <row r="13" spans="1:31" ht="30" customHeight="1" x14ac:dyDescent="0.25">
      <c r="A13" s="477" t="s">
        <v>3</v>
      </c>
      <c r="B13" s="1010"/>
      <c r="C13" s="1010"/>
      <c r="D13" s="1010"/>
      <c r="E13" s="1010"/>
      <c r="G13" s="470">
        <f>SUM(L17:L30)</f>
        <v>0</v>
      </c>
      <c r="H13" s="470" t="s">
        <v>523</v>
      </c>
      <c r="AB13" s="358">
        <f>AB15/0.55</f>
        <v>0</v>
      </c>
    </row>
    <row r="14" spans="1:31" ht="30" customHeight="1" thickBot="1" x14ac:dyDescent="0.3">
      <c r="A14" s="477" t="s">
        <v>15</v>
      </c>
      <c r="B14" s="1010"/>
      <c r="C14" s="1010"/>
      <c r="D14" s="1010"/>
      <c r="E14" s="1010"/>
    </row>
    <row r="15" spans="1:31" ht="30" customHeight="1" thickTop="1" x14ac:dyDescent="0.25">
      <c r="A15" s="477" t="s">
        <v>4</v>
      </c>
      <c r="B15" s="1010"/>
      <c r="C15" s="1010"/>
      <c r="D15" s="1010"/>
      <c r="E15" s="1010"/>
      <c r="G15" s="1075" t="s">
        <v>936</v>
      </c>
      <c r="H15" s="1076"/>
      <c r="I15" s="1076"/>
      <c r="J15" s="1076"/>
      <c r="K15" s="1076"/>
      <c r="L15" s="1077"/>
      <c r="M15" s="231"/>
      <c r="N15" s="231"/>
      <c r="O15" s="231"/>
      <c r="P15" s="231"/>
      <c r="Q15" s="231"/>
      <c r="R15" s="231"/>
      <c r="S15" s="231"/>
      <c r="T15" s="231"/>
      <c r="U15" s="231"/>
      <c r="V15" s="231"/>
      <c r="W15" s="231"/>
      <c r="X15" s="231"/>
      <c r="Y15" s="231"/>
      <c r="Z15" s="231"/>
      <c r="AA15" s="231"/>
      <c r="AB15" s="231"/>
      <c r="AC15" s="231"/>
      <c r="AD15" s="231"/>
      <c r="AE15" s="231"/>
    </row>
    <row r="16" spans="1:31" ht="30" customHeight="1" x14ac:dyDescent="0.25">
      <c r="A16" s="477" t="s">
        <v>5</v>
      </c>
      <c r="B16" s="1010"/>
      <c r="C16" s="1010"/>
      <c r="D16" s="1010"/>
      <c r="E16" s="1010"/>
      <c r="G16" s="246" t="s">
        <v>517</v>
      </c>
      <c r="H16" s="247" t="s">
        <v>526</v>
      </c>
      <c r="I16" s="247" t="s">
        <v>527</v>
      </c>
      <c r="J16" s="249" t="s">
        <v>524</v>
      </c>
      <c r="K16" s="247" t="s">
        <v>520</v>
      </c>
      <c r="L16" s="248" t="s">
        <v>200</v>
      </c>
      <c r="M16" s="231"/>
      <c r="N16" s="231"/>
      <c r="O16" s="231"/>
      <c r="P16" s="231"/>
      <c r="Q16" s="231"/>
      <c r="R16" s="231"/>
      <c r="S16" s="231"/>
      <c r="T16" s="231"/>
      <c r="U16" s="231"/>
      <c r="V16" s="231"/>
      <c r="W16" s="231"/>
      <c r="X16" s="231"/>
      <c r="Y16" s="231"/>
      <c r="Z16" s="231"/>
      <c r="AA16" s="231"/>
      <c r="AB16" s="231"/>
      <c r="AC16" s="231"/>
      <c r="AD16" s="231"/>
      <c r="AE16" s="231"/>
    </row>
    <row r="17" spans="1:31" ht="30" customHeight="1" x14ac:dyDescent="0.25">
      <c r="A17" s="477" t="s">
        <v>6</v>
      </c>
      <c r="B17" s="1012"/>
      <c r="C17" s="1012"/>
      <c r="D17" s="1012"/>
      <c r="E17" s="1012"/>
      <c r="G17" s="238"/>
      <c r="H17" s="237"/>
      <c r="I17" s="234"/>
      <c r="J17" s="214"/>
      <c r="K17" s="234"/>
      <c r="L17" s="239"/>
      <c r="M17" s="231"/>
      <c r="N17" s="231"/>
      <c r="O17" s="231"/>
      <c r="P17" s="231"/>
      <c r="Q17" s="231"/>
      <c r="R17" s="231"/>
      <c r="S17" s="231"/>
      <c r="T17" s="231"/>
      <c r="U17" s="231"/>
      <c r="V17" s="231"/>
      <c r="W17" s="231"/>
      <c r="X17" s="231"/>
      <c r="Y17" s="231"/>
      <c r="Z17" s="231"/>
      <c r="AA17" s="231"/>
      <c r="AB17" s="231"/>
      <c r="AC17" s="231"/>
      <c r="AD17" s="231"/>
      <c r="AE17" s="231"/>
    </row>
    <row r="18" spans="1:31" ht="30" customHeight="1" x14ac:dyDescent="0.25">
      <c r="A18" s="477" t="s">
        <v>7</v>
      </c>
      <c r="B18" s="1012"/>
      <c r="C18" s="1012"/>
      <c r="D18" s="1012"/>
      <c r="E18" s="1012"/>
      <c r="G18" s="238"/>
      <c r="H18" s="237"/>
      <c r="I18" s="234"/>
      <c r="J18" s="214"/>
      <c r="K18" s="234"/>
      <c r="L18" s="239"/>
      <c r="M18" s="231"/>
      <c r="N18" s="231"/>
      <c r="O18" s="231"/>
      <c r="P18" s="231"/>
      <c r="Q18" s="231"/>
      <c r="R18" s="231"/>
      <c r="S18" s="231"/>
      <c r="T18" s="231"/>
      <c r="U18" s="231"/>
      <c r="V18" s="231"/>
      <c r="W18" s="231"/>
      <c r="X18" s="231"/>
      <c r="Y18" s="231"/>
      <c r="Z18" s="231"/>
      <c r="AA18" s="231"/>
      <c r="AB18" s="231"/>
      <c r="AC18" s="231"/>
      <c r="AD18" s="231"/>
      <c r="AE18" s="231"/>
    </row>
    <row r="19" spans="1:31" ht="30" customHeight="1" x14ac:dyDescent="0.25">
      <c r="A19" s="99" t="s">
        <v>307</v>
      </c>
      <c r="B19" s="1039">
        <f>(H17-I17)*10</f>
        <v>0</v>
      </c>
      <c r="C19" s="1040"/>
      <c r="D19" s="1040"/>
      <c r="E19" s="1040"/>
      <c r="F19" s="33"/>
      <c r="G19" s="240"/>
      <c r="H19" s="237"/>
      <c r="I19" s="234"/>
      <c r="J19" s="214"/>
      <c r="K19" s="234"/>
      <c r="L19" s="239"/>
      <c r="M19" s="231"/>
      <c r="N19" s="231"/>
      <c r="O19" s="231"/>
      <c r="P19" s="231"/>
      <c r="Q19" s="231"/>
      <c r="R19" s="231"/>
      <c r="S19" s="231"/>
      <c r="T19" s="231"/>
      <c r="U19" s="231"/>
      <c r="V19" s="231"/>
      <c r="W19" s="231"/>
      <c r="X19" s="231"/>
      <c r="Y19" s="231"/>
      <c r="Z19" s="231"/>
      <c r="AA19" s="231"/>
      <c r="AB19" s="231"/>
      <c r="AC19" s="231"/>
      <c r="AD19" s="231"/>
      <c r="AE19" s="231"/>
    </row>
    <row r="20" spans="1:31" ht="30" customHeight="1" x14ac:dyDescent="0.25">
      <c r="A20" s="96" t="s">
        <v>306</v>
      </c>
      <c r="B20" s="1041">
        <f>+G11*10</f>
        <v>0</v>
      </c>
      <c r="C20" s="1042"/>
      <c r="D20" s="1042"/>
      <c r="E20" s="1042"/>
      <c r="G20" s="238"/>
      <c r="H20" s="237"/>
      <c r="I20" s="234"/>
      <c r="J20" s="214"/>
      <c r="K20" s="234"/>
      <c r="L20" s="239"/>
      <c r="M20" s="231"/>
      <c r="N20" s="231"/>
      <c r="O20" s="231"/>
      <c r="P20" s="231"/>
      <c r="Q20" s="231"/>
      <c r="R20" s="231"/>
      <c r="S20" s="231"/>
      <c r="T20" s="231"/>
      <c r="U20" s="231"/>
      <c r="V20" s="231"/>
      <c r="W20" s="231"/>
      <c r="X20" s="231"/>
      <c r="Y20" s="231"/>
      <c r="Z20" s="231"/>
      <c r="AA20" s="231"/>
      <c r="AB20" s="231"/>
      <c r="AC20" s="231"/>
      <c r="AD20" s="231"/>
      <c r="AE20" s="231"/>
    </row>
    <row r="21" spans="1:31" ht="30" customHeight="1" x14ac:dyDescent="0.25">
      <c r="A21" s="477" t="s">
        <v>8</v>
      </c>
      <c r="B21" s="1000">
        <f>B20/10*I10-I12*K12</f>
        <v>0</v>
      </c>
      <c r="C21" s="1000"/>
      <c r="D21" s="1000"/>
      <c r="E21" s="1000"/>
      <c r="G21" s="238"/>
      <c r="H21" s="237"/>
      <c r="I21" s="234"/>
      <c r="J21" s="214"/>
      <c r="K21" s="234"/>
      <c r="L21" s="239"/>
      <c r="M21" s="231"/>
      <c r="N21" s="231"/>
      <c r="O21" s="231"/>
      <c r="P21" s="231"/>
      <c r="Q21" s="231"/>
      <c r="R21" s="231"/>
      <c r="S21" s="231"/>
      <c r="T21" s="231"/>
      <c r="U21" s="231"/>
      <c r="V21" s="231"/>
      <c r="W21" s="231"/>
      <c r="X21" s="231"/>
      <c r="Y21" s="231"/>
      <c r="Z21" s="231"/>
      <c r="AA21" s="231"/>
      <c r="AB21" s="231"/>
      <c r="AC21" s="231"/>
      <c r="AD21" s="231"/>
      <c r="AE21" s="231"/>
    </row>
    <row r="22" spans="1:31" ht="30" customHeight="1" x14ac:dyDescent="0.25">
      <c r="A22" s="477" t="s">
        <v>9</v>
      </c>
      <c r="B22" s="1000">
        <f>B20/1000*L11*4</f>
        <v>0</v>
      </c>
      <c r="C22" s="1000"/>
      <c r="D22" s="1000"/>
      <c r="E22" s="1000"/>
      <c r="G22" s="238"/>
      <c r="H22" s="237"/>
      <c r="I22" s="234"/>
      <c r="J22" s="214"/>
      <c r="K22" s="234"/>
      <c r="L22" s="239"/>
      <c r="M22" s="231"/>
      <c r="N22" s="231"/>
      <c r="O22" s="231"/>
      <c r="P22" s="231"/>
      <c r="Q22" s="231"/>
      <c r="R22" s="231"/>
      <c r="S22" s="231"/>
      <c r="T22" s="231"/>
      <c r="U22" s="231"/>
      <c r="V22" s="231"/>
      <c r="W22" s="231"/>
      <c r="X22" s="231"/>
      <c r="Y22" s="231"/>
      <c r="Z22" s="231"/>
      <c r="AA22" s="231"/>
      <c r="AB22" s="231"/>
      <c r="AC22" s="231"/>
      <c r="AD22" s="231"/>
      <c r="AE22" s="231"/>
    </row>
    <row r="23" spans="1:31" ht="30" customHeight="1" x14ac:dyDescent="0.25">
      <c r="A23" s="477" t="s">
        <v>301</v>
      </c>
      <c r="B23" s="1016" t="e">
        <f>B17/(B21+B22)</f>
        <v>#DIV/0!</v>
      </c>
      <c r="C23" s="1016"/>
      <c r="D23" s="1016"/>
      <c r="E23" s="1016"/>
      <c r="G23" s="238"/>
      <c r="H23" s="237"/>
      <c r="I23" s="234"/>
      <c r="J23" s="214"/>
      <c r="K23" s="234"/>
      <c r="L23" s="239"/>
      <c r="M23" s="231"/>
      <c r="N23" s="231"/>
      <c r="O23" s="231"/>
      <c r="P23" s="231"/>
      <c r="Q23" s="231"/>
      <c r="R23" s="231"/>
      <c r="S23" s="231"/>
      <c r="T23" s="231"/>
      <c r="U23" s="231"/>
      <c r="V23" s="231"/>
      <c r="W23" s="231"/>
      <c r="X23" s="231"/>
      <c r="Y23" s="231"/>
      <c r="Z23" s="231"/>
      <c r="AA23" s="231"/>
      <c r="AB23" s="231"/>
      <c r="AC23" s="231"/>
      <c r="AD23" s="231"/>
      <c r="AE23" s="231"/>
    </row>
    <row r="24" spans="1:31" ht="30" customHeight="1" x14ac:dyDescent="0.25">
      <c r="A24" s="477" t="s">
        <v>302</v>
      </c>
      <c r="B24" s="1017" t="e">
        <f>(B17-B18)/(B21+B22)</f>
        <v>#DIV/0!</v>
      </c>
      <c r="C24" s="1017"/>
      <c r="D24" s="1017"/>
      <c r="E24" s="1017"/>
      <c r="G24" s="238"/>
      <c r="H24" s="237"/>
      <c r="I24" s="234"/>
      <c r="J24" s="214"/>
      <c r="K24" s="234"/>
      <c r="L24" s="239"/>
      <c r="M24" s="231"/>
      <c r="N24" s="231"/>
      <c r="O24" s="231"/>
      <c r="P24" s="231"/>
      <c r="Q24" s="231"/>
      <c r="R24" s="231"/>
      <c r="S24" s="231"/>
      <c r="T24" s="231"/>
      <c r="U24" s="231"/>
      <c r="V24" s="231"/>
      <c r="W24" s="231"/>
      <c r="X24" s="231"/>
      <c r="Y24" s="231"/>
      <c r="Z24" s="231"/>
      <c r="AA24" s="231"/>
      <c r="AB24" s="231"/>
      <c r="AC24" s="231"/>
      <c r="AD24" s="231"/>
      <c r="AE24" s="231"/>
    </row>
    <row r="25" spans="1:31" ht="30" customHeight="1" x14ac:dyDescent="0.25">
      <c r="A25" s="100" t="s">
        <v>305</v>
      </c>
      <c r="B25" s="1070">
        <f>B20/1000*J10</f>
        <v>0</v>
      </c>
      <c r="C25" s="1070"/>
      <c r="D25" s="1070"/>
      <c r="E25" s="1070"/>
      <c r="G25" s="238"/>
      <c r="H25" s="237"/>
      <c r="I25" s="234"/>
      <c r="J25" s="214"/>
      <c r="K25" s="234"/>
      <c r="L25" s="239"/>
      <c r="M25" s="231"/>
      <c r="N25" s="231"/>
      <c r="O25" s="231"/>
      <c r="P25" s="231"/>
      <c r="Q25" s="231"/>
      <c r="R25" s="231"/>
      <c r="S25" s="231"/>
      <c r="T25" s="231"/>
      <c r="U25" s="231"/>
      <c r="V25" s="231"/>
      <c r="W25" s="231"/>
      <c r="X25" s="231"/>
      <c r="Y25" s="231"/>
      <c r="Z25" s="231"/>
      <c r="AA25" s="231"/>
      <c r="AB25" s="231"/>
      <c r="AC25" s="231"/>
      <c r="AD25" s="231"/>
      <c r="AE25" s="231"/>
    </row>
    <row r="26" spans="1:31" ht="30" customHeight="1" x14ac:dyDescent="0.25">
      <c r="A26" s="101" t="s">
        <v>303</v>
      </c>
      <c r="B26" s="1071">
        <f>B25/'Objectifs CO2'!C6</f>
        <v>0</v>
      </c>
      <c r="C26" s="1071"/>
      <c r="D26" s="1071"/>
      <c r="E26" s="1071"/>
      <c r="G26" s="238"/>
      <c r="H26" s="237"/>
      <c r="I26" s="234"/>
      <c r="J26" s="214"/>
      <c r="K26" s="234"/>
      <c r="L26" s="239"/>
      <c r="M26" s="231"/>
      <c r="N26" s="231"/>
      <c r="O26" s="231"/>
      <c r="P26" s="231"/>
      <c r="Q26" s="231"/>
      <c r="R26" s="231"/>
      <c r="S26" s="231"/>
      <c r="T26" s="231"/>
      <c r="U26" s="231"/>
      <c r="V26" s="231"/>
      <c r="W26" s="231"/>
      <c r="X26" s="231"/>
      <c r="Y26" s="231"/>
      <c r="Z26" s="231"/>
      <c r="AA26" s="231"/>
      <c r="AB26" s="231"/>
      <c r="AC26" s="231"/>
      <c r="AD26" s="231"/>
      <c r="AE26" s="231"/>
    </row>
    <row r="27" spans="1:31" ht="30" customHeight="1" x14ac:dyDescent="0.25">
      <c r="A27" s="101" t="s">
        <v>304</v>
      </c>
      <c r="B27" s="1056">
        <f>B25/'Objectifs CO2'!C4</f>
        <v>0</v>
      </c>
      <c r="C27" s="1057"/>
      <c r="D27" s="1057"/>
      <c r="E27" s="1057"/>
      <c r="G27" s="241"/>
      <c r="H27" s="237"/>
      <c r="I27" s="234"/>
      <c r="J27" s="214"/>
      <c r="K27" s="234"/>
      <c r="L27" s="239"/>
      <c r="M27" s="231"/>
      <c r="N27" s="231"/>
      <c r="O27" s="231"/>
      <c r="P27" s="231"/>
      <c r="Q27" s="231"/>
      <c r="R27" s="231"/>
      <c r="S27" s="231"/>
      <c r="T27" s="231"/>
      <c r="U27" s="231"/>
      <c r="V27" s="231"/>
      <c r="W27" s="231"/>
      <c r="X27" s="231"/>
      <c r="Y27" s="231"/>
      <c r="Z27" s="231"/>
      <c r="AA27" s="231"/>
      <c r="AB27" s="231"/>
      <c r="AC27" s="231"/>
      <c r="AD27" s="231"/>
      <c r="AE27" s="231"/>
    </row>
    <row r="28" spans="1:31" ht="30" customHeight="1" x14ac:dyDescent="0.25">
      <c r="A28" s="101" t="s">
        <v>22</v>
      </c>
      <c r="B28" s="999" t="s">
        <v>10</v>
      </c>
      <c r="C28" s="999"/>
      <c r="D28" s="999"/>
      <c r="E28" s="999"/>
      <c r="G28" s="242"/>
      <c r="H28" s="234"/>
      <c r="I28" s="234"/>
      <c r="J28" s="214"/>
      <c r="K28" s="234"/>
      <c r="L28" s="239"/>
      <c r="M28" s="231"/>
      <c r="N28" s="231"/>
      <c r="O28" s="231"/>
      <c r="P28" s="231"/>
      <c r="Q28" s="231"/>
      <c r="R28" s="231"/>
      <c r="S28" s="231"/>
      <c r="T28" s="231"/>
      <c r="U28" s="231"/>
      <c r="V28" s="231"/>
      <c r="W28" s="231"/>
      <c r="X28" s="231"/>
      <c r="Y28" s="231"/>
      <c r="Z28" s="231"/>
      <c r="AA28" s="231"/>
      <c r="AB28" s="231"/>
      <c r="AC28" s="231"/>
      <c r="AD28" s="231"/>
      <c r="AE28" s="231"/>
    </row>
    <row r="29" spans="1:31" ht="30" customHeight="1" x14ac:dyDescent="0.25">
      <c r="A29" s="101" t="s">
        <v>257</v>
      </c>
      <c r="B29" s="999"/>
      <c r="C29" s="999"/>
      <c r="D29" s="999"/>
      <c r="E29" s="999"/>
      <c r="G29" s="242"/>
      <c r="H29" s="234"/>
      <c r="I29" s="234"/>
      <c r="J29" s="214"/>
      <c r="K29" s="234"/>
      <c r="L29" s="239"/>
      <c r="M29" s="231"/>
      <c r="N29" s="231"/>
      <c r="O29" s="231"/>
      <c r="P29" s="231"/>
      <c r="Q29" s="231"/>
      <c r="R29" s="231"/>
      <c r="S29" s="231"/>
      <c r="T29" s="231"/>
      <c r="U29" s="231"/>
      <c r="V29" s="231"/>
      <c r="W29" s="231"/>
      <c r="X29" s="231"/>
      <c r="Y29" s="231"/>
      <c r="Z29" s="231"/>
      <c r="AA29" s="231"/>
      <c r="AB29" s="231"/>
      <c r="AC29" s="231"/>
      <c r="AD29" s="231"/>
      <c r="AE29" s="231"/>
    </row>
    <row r="30" spans="1:31" ht="15.75" thickBot="1" x14ac:dyDescent="0.3">
      <c r="G30" s="243"/>
      <c r="H30" s="244"/>
      <c r="I30" s="244"/>
      <c r="J30" s="250"/>
      <c r="K30" s="244"/>
      <c r="L30" s="245"/>
      <c r="M30" s="231"/>
      <c r="N30" s="231"/>
      <c r="O30" s="231"/>
      <c r="P30" s="231"/>
      <c r="Q30" s="231"/>
      <c r="R30" s="231"/>
      <c r="S30" s="231"/>
      <c r="T30" s="231"/>
      <c r="U30" s="231"/>
      <c r="V30" s="231"/>
      <c r="W30" s="231"/>
      <c r="X30" s="231"/>
      <c r="Y30" s="231"/>
      <c r="Z30" s="231"/>
      <c r="AA30" s="231"/>
      <c r="AB30" s="231"/>
      <c r="AC30" s="231"/>
      <c r="AD30" s="231"/>
      <c r="AE30" s="231"/>
    </row>
    <row r="31" spans="1:31" ht="15.75" thickTop="1" x14ac:dyDescent="0.25">
      <c r="A31" s="603" t="s">
        <v>1065</v>
      </c>
      <c r="B31" s="1003" t="s">
        <v>675</v>
      </c>
      <c r="C31" s="1003"/>
      <c r="D31" s="1003"/>
      <c r="E31" s="470" t="s">
        <v>676</v>
      </c>
      <c r="J31" s="231"/>
      <c r="K31" s="231"/>
      <c r="L31" s="231"/>
      <c r="M31" s="231"/>
      <c r="N31" s="231"/>
      <c r="O31" s="231"/>
      <c r="P31" s="231"/>
      <c r="Q31" s="231"/>
      <c r="R31" s="231"/>
      <c r="S31" s="231"/>
      <c r="T31" s="231"/>
      <c r="U31" s="231"/>
      <c r="V31" s="231"/>
      <c r="W31" s="231"/>
      <c r="X31" s="231"/>
      <c r="Y31" s="231"/>
      <c r="Z31" s="231"/>
      <c r="AA31" s="231"/>
      <c r="AB31" s="231"/>
      <c r="AC31" s="231"/>
      <c r="AD31" s="231"/>
      <c r="AE31" s="231"/>
    </row>
    <row r="32" spans="1:31" x14ac:dyDescent="0.25">
      <c r="A32" s="377"/>
      <c r="B32" s="992" t="s">
        <v>677</v>
      </c>
      <c r="C32" s="992"/>
      <c r="D32" s="992"/>
      <c r="E32" s="374"/>
      <c r="G32" s="1004" t="s">
        <v>676</v>
      </c>
      <c r="H32" s="1004"/>
      <c r="I32" s="1004"/>
      <c r="J32" s="231"/>
      <c r="K32" s="231"/>
      <c r="L32" s="231"/>
      <c r="M32" s="231"/>
      <c r="N32" s="231"/>
      <c r="O32" s="231"/>
      <c r="P32" s="231"/>
      <c r="Q32" s="231"/>
      <c r="R32" s="231"/>
      <c r="S32" s="231"/>
      <c r="T32" s="231"/>
      <c r="U32" s="231"/>
      <c r="V32" s="231"/>
      <c r="W32" s="231"/>
      <c r="X32" s="231"/>
      <c r="Y32" s="231"/>
      <c r="Z32" s="231"/>
      <c r="AA32" s="231"/>
      <c r="AB32" s="231"/>
      <c r="AC32" s="231"/>
      <c r="AD32" s="231"/>
      <c r="AE32" s="231"/>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0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B6:E6"/>
    <mergeCell ref="G6:H6"/>
    <mergeCell ref="B7:E7"/>
    <mergeCell ref="G7:H7"/>
    <mergeCell ref="B17:E17"/>
    <mergeCell ref="B8:E8"/>
    <mergeCell ref="G8:G10"/>
    <mergeCell ref="B9:E9"/>
    <mergeCell ref="B10:E10"/>
    <mergeCell ref="B11:E11"/>
    <mergeCell ref="B12:E12"/>
    <mergeCell ref="B13:E13"/>
    <mergeCell ref="B14:E14"/>
    <mergeCell ref="B15:E15"/>
    <mergeCell ref="G15:L15"/>
    <mergeCell ref="B16:E16"/>
    <mergeCell ref="B29:E29"/>
    <mergeCell ref="B18:E18"/>
    <mergeCell ref="B19:E19"/>
    <mergeCell ref="B20:E20"/>
    <mergeCell ref="B21:E21"/>
    <mergeCell ref="B22:E22"/>
    <mergeCell ref="B23:E23"/>
    <mergeCell ref="B24:E24"/>
    <mergeCell ref="B25:E25"/>
    <mergeCell ref="B26:E26"/>
    <mergeCell ref="B27:E27"/>
    <mergeCell ref="B28:E28"/>
    <mergeCell ref="B40:D40"/>
    <mergeCell ref="G40:I40"/>
    <mergeCell ref="B41:D41"/>
    <mergeCell ref="B42:D42"/>
    <mergeCell ref="B44:D44"/>
    <mergeCell ref="B39:D39"/>
    <mergeCell ref="B31:D31"/>
    <mergeCell ref="B32:D32"/>
    <mergeCell ref="G32:I32"/>
    <mergeCell ref="B33:D33"/>
    <mergeCell ref="H33:I33"/>
    <mergeCell ref="B34:D34"/>
    <mergeCell ref="H34:I34"/>
    <mergeCell ref="B35:D35"/>
    <mergeCell ref="H35:I35"/>
    <mergeCell ref="B36:D36"/>
    <mergeCell ref="B37:D37"/>
    <mergeCell ref="B38:D38"/>
  </mergeCells>
  <conditionalFormatting sqref="B5">
    <cfRule type="containsText" dxfId="68" priority="1" operator="containsText" text="Terminé">
      <formula>NOT(ISERROR(SEARCH("Terminé",B5)))</formula>
    </cfRule>
    <cfRule type="containsText" dxfId="67" priority="2" operator="containsText" text="En cours">
      <formula>NOT(ISERROR(SEARCH("En cours",B5)))</formula>
    </cfRule>
    <cfRule type="containsText" dxfId="6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B69"/>
  <sheetViews>
    <sheetView topLeftCell="B14" zoomScaleNormal="100" workbookViewId="0">
      <selection activeCell="B10" sqref="B10:E10"/>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789</v>
      </c>
      <c r="C2" s="1068"/>
      <c r="D2" s="1068"/>
      <c r="E2" s="1068"/>
      <c r="F2" s="7"/>
      <c r="G2" s="986" t="s">
        <v>751</v>
      </c>
      <c r="H2" s="986"/>
    </row>
    <row r="3" spans="1:28" ht="19.5" customHeight="1" x14ac:dyDescent="0.25">
      <c r="A3" s="409" t="s">
        <v>743</v>
      </c>
      <c r="B3" s="987" t="s">
        <v>749</v>
      </c>
      <c r="C3" s="987"/>
      <c r="D3" s="987"/>
      <c r="E3" s="987"/>
      <c r="F3" s="7"/>
      <c r="G3" s="986" t="s">
        <v>752</v>
      </c>
      <c r="H3" s="986"/>
    </row>
    <row r="4" spans="1:28" ht="19.5" customHeight="1" x14ac:dyDescent="0.25">
      <c r="A4" s="403" t="s">
        <v>292</v>
      </c>
      <c r="B4" s="996" t="s">
        <v>37</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thickBot="1" x14ac:dyDescent="0.3">
      <c r="A7" s="253" t="s">
        <v>475</v>
      </c>
      <c r="B7" s="994" t="s">
        <v>248</v>
      </c>
      <c r="C7" s="994"/>
      <c r="D7" s="994"/>
      <c r="E7" s="994"/>
      <c r="F7" s="7"/>
      <c r="G7" s="995" t="s">
        <v>756</v>
      </c>
      <c r="H7" s="995"/>
      <c r="I7" s="400"/>
      <c r="J7" s="400"/>
      <c r="Z7" s="401"/>
      <c r="AA7" s="402"/>
      <c r="AB7" s="357"/>
    </row>
    <row r="8" spans="1:28" ht="15.75" customHeight="1" thickBot="1" x14ac:dyDescent="0.3">
      <c r="A8" s="109" t="s">
        <v>1</v>
      </c>
      <c r="B8" s="967" t="s">
        <v>318</v>
      </c>
      <c r="C8" s="967"/>
      <c r="D8" s="967"/>
      <c r="E8" s="967"/>
      <c r="G8" s="997" t="s">
        <v>936</v>
      </c>
      <c r="Z8" s="1028" t="s">
        <v>611</v>
      </c>
      <c r="AA8" s="1029"/>
      <c r="AB8" s="357">
        <v>0.26819999999999999</v>
      </c>
    </row>
    <row r="9" spans="1:28" ht="15.75" thickBot="1" x14ac:dyDescent="0.3">
      <c r="A9" s="109" t="s">
        <v>0</v>
      </c>
      <c r="B9" s="967" t="s">
        <v>319</v>
      </c>
      <c r="C9" s="967"/>
      <c r="D9" s="967"/>
      <c r="E9" s="967"/>
      <c r="G9" s="997"/>
      <c r="Z9" s="1028" t="s">
        <v>612</v>
      </c>
      <c r="AA9" s="1029"/>
      <c r="AB9" s="357">
        <v>3.1300000000000001E-2</v>
      </c>
    </row>
    <row r="10" spans="1:28" ht="15.75" x14ac:dyDescent="0.25">
      <c r="A10" s="110" t="s">
        <v>2</v>
      </c>
      <c r="B10" s="1034" t="s">
        <v>1325</v>
      </c>
      <c r="C10" s="1035"/>
      <c r="D10" s="1035"/>
      <c r="E10" s="1035"/>
      <c r="G10" s="997"/>
      <c r="M10" s="7"/>
      <c r="Z10" s="1028"/>
      <c r="AA10" s="1029"/>
      <c r="AB10" s="357"/>
    </row>
    <row r="11" spans="1:28" ht="143.25" customHeight="1" x14ac:dyDescent="0.25">
      <c r="A11" s="110" t="s">
        <v>29</v>
      </c>
      <c r="B11" s="1034" t="s">
        <v>764</v>
      </c>
      <c r="C11" s="1035"/>
      <c r="D11" s="1035"/>
      <c r="E11" s="1035"/>
      <c r="G11" s="254">
        <v>8</v>
      </c>
      <c r="H11" s="131" t="s">
        <v>829</v>
      </c>
      <c r="Z11" s="1028" t="s">
        <v>613</v>
      </c>
      <c r="AA11" s="1029"/>
      <c r="AB11" s="357">
        <v>0.26819999999999999</v>
      </c>
    </row>
    <row r="12" spans="1:28" ht="30" customHeight="1" x14ac:dyDescent="0.25">
      <c r="A12" s="115" t="s">
        <v>14</v>
      </c>
      <c r="B12" s="1010" t="s">
        <v>939</v>
      </c>
      <c r="C12" s="1010"/>
      <c r="D12" s="1010"/>
      <c r="E12" s="1010"/>
      <c r="G12" s="6">
        <v>4000</v>
      </c>
      <c r="H12" s="6" t="s">
        <v>1259</v>
      </c>
      <c r="Z12" s="1028" t="s">
        <v>614</v>
      </c>
      <c r="AA12" s="1029"/>
      <c r="AB12" s="357">
        <v>1.18E-2</v>
      </c>
    </row>
    <row r="13" spans="1:28" ht="30" customHeight="1" x14ac:dyDescent="0.25">
      <c r="A13" s="115" t="s">
        <v>3</v>
      </c>
      <c r="B13" s="1011" t="s">
        <v>943</v>
      </c>
      <c r="C13" s="1011"/>
      <c r="D13" s="1011"/>
      <c r="E13" s="1011"/>
      <c r="G13" s="111" t="s">
        <v>320</v>
      </c>
      <c r="H13" s="111" t="s">
        <v>321</v>
      </c>
      <c r="I13" s="112" t="s">
        <v>322</v>
      </c>
      <c r="J13" s="112" t="s">
        <v>323</v>
      </c>
      <c r="K13" s="112" t="s">
        <v>118</v>
      </c>
      <c r="L13" s="113" t="s">
        <v>324</v>
      </c>
      <c r="M13" s="112" t="s">
        <v>325</v>
      </c>
      <c r="Z13" s="1028" t="s">
        <v>615</v>
      </c>
      <c r="AA13" s="1029"/>
      <c r="AB13" s="358">
        <f>AB15/0.55</f>
        <v>0.50363636363636366</v>
      </c>
    </row>
    <row r="14" spans="1:28" ht="30" customHeight="1" x14ac:dyDescent="0.25">
      <c r="A14" s="115" t="s">
        <v>15</v>
      </c>
      <c r="B14" s="1010"/>
      <c r="C14" s="1010"/>
      <c r="D14" s="1010"/>
      <c r="E14" s="1010"/>
      <c r="G14" s="111">
        <f>SUM(G11:L11)</f>
        <v>8</v>
      </c>
      <c r="H14" s="111">
        <v>2</v>
      </c>
      <c r="I14" s="112">
        <f>G14*H14</f>
        <v>16</v>
      </c>
      <c r="J14" s="112">
        <f>I14*100</f>
        <v>1600</v>
      </c>
      <c r="K14" s="112">
        <f>AB8</f>
        <v>0.26819999999999999</v>
      </c>
      <c r="L14" s="114">
        <v>15</v>
      </c>
      <c r="M14" s="112">
        <v>0.7</v>
      </c>
      <c r="Z14" s="1028" t="s">
        <v>616</v>
      </c>
      <c r="AA14" s="1029"/>
      <c r="AB14" s="357">
        <v>0.26819999999999999</v>
      </c>
    </row>
    <row r="15" spans="1:28" ht="30" customHeight="1" x14ac:dyDescent="0.25">
      <c r="A15" s="115" t="s">
        <v>4</v>
      </c>
      <c r="B15" s="1010">
        <v>2016</v>
      </c>
      <c r="C15" s="1010"/>
      <c r="D15" s="1010"/>
      <c r="E15" s="1010"/>
      <c r="Z15" s="1028" t="s">
        <v>578</v>
      </c>
      <c r="AA15" s="1029"/>
      <c r="AB15" s="357">
        <v>0.27700000000000002</v>
      </c>
    </row>
    <row r="16" spans="1:28" ht="30" customHeight="1" x14ac:dyDescent="0.25">
      <c r="A16" s="115" t="s">
        <v>5</v>
      </c>
      <c r="B16" s="1010">
        <v>2030</v>
      </c>
      <c r="C16" s="1010"/>
      <c r="D16" s="1010"/>
      <c r="E16" s="1010"/>
      <c r="H16" s="112" t="s">
        <v>326</v>
      </c>
      <c r="I16" s="112" t="s">
        <v>327</v>
      </c>
      <c r="J16" s="112" t="s">
        <v>328</v>
      </c>
      <c r="K16" s="112" t="s">
        <v>329</v>
      </c>
      <c r="Z16" s="1028" t="s">
        <v>579</v>
      </c>
      <c r="AA16" s="1029"/>
      <c r="AB16" s="357">
        <v>0.20269999999999999</v>
      </c>
    </row>
    <row r="17" spans="1:11" ht="30" customHeight="1" x14ac:dyDescent="0.25">
      <c r="A17" s="115" t="s">
        <v>6</v>
      </c>
      <c r="B17" s="1000">
        <f>G14*1000*L14</f>
        <v>120000</v>
      </c>
      <c r="C17" s="1000"/>
      <c r="D17" s="1000"/>
      <c r="E17" s="1000"/>
      <c r="H17" s="116">
        <v>50</v>
      </c>
      <c r="I17" s="116">
        <f>G14*H17</f>
        <v>400</v>
      </c>
      <c r="J17" s="117">
        <f>I17*K17</f>
        <v>360</v>
      </c>
      <c r="K17" s="116">
        <v>0.9</v>
      </c>
    </row>
    <row r="18" spans="1:11" ht="30" customHeight="1" x14ac:dyDescent="0.25">
      <c r="A18" s="115" t="s">
        <v>7</v>
      </c>
      <c r="B18" s="1000">
        <f>B17*M14</f>
        <v>84000</v>
      </c>
      <c r="C18" s="1000"/>
      <c r="D18" s="1000"/>
      <c r="E18" s="1000"/>
    </row>
    <row r="19" spans="1:11" ht="30" customHeight="1" x14ac:dyDescent="0.25">
      <c r="A19" s="118" t="s">
        <v>307</v>
      </c>
      <c r="B19" s="1177"/>
      <c r="C19" s="1178"/>
      <c r="D19" s="1178"/>
      <c r="E19" s="1178"/>
      <c r="G19" s="2"/>
      <c r="H19" s="2"/>
    </row>
    <row r="20" spans="1:11" ht="30" customHeight="1" x14ac:dyDescent="0.25">
      <c r="A20" s="119" t="s">
        <v>306</v>
      </c>
      <c r="B20" s="1179">
        <f>J14*10</f>
        <v>16000</v>
      </c>
      <c r="C20" s="1180"/>
      <c r="D20" s="1180"/>
      <c r="E20" s="1180"/>
    </row>
    <row r="21" spans="1:11" ht="30" customHeight="1" x14ac:dyDescent="0.25">
      <c r="A21" s="115" t="s">
        <v>8</v>
      </c>
      <c r="B21" s="1000">
        <v>1</v>
      </c>
      <c r="C21" s="1000"/>
      <c r="D21" s="1000"/>
      <c r="E21" s="1000"/>
    </row>
    <row r="22" spans="1:11" ht="30" customHeight="1" x14ac:dyDescent="0.25">
      <c r="A22" s="115" t="s">
        <v>9</v>
      </c>
      <c r="B22" s="1010"/>
      <c r="C22" s="1010"/>
      <c r="D22" s="1010"/>
      <c r="E22" s="1010"/>
    </row>
    <row r="23" spans="1:11" ht="30" customHeight="1" x14ac:dyDescent="0.25">
      <c r="A23" s="115" t="s">
        <v>301</v>
      </c>
      <c r="B23" s="1016">
        <f>B17/(B21+B22)</f>
        <v>120000</v>
      </c>
      <c r="C23" s="1016"/>
      <c r="D23" s="1016"/>
      <c r="E23" s="1016"/>
    </row>
    <row r="24" spans="1:11" ht="30" customHeight="1" x14ac:dyDescent="0.25">
      <c r="A24" s="115" t="s">
        <v>330</v>
      </c>
      <c r="B24" s="1048">
        <f>(B17-B18)/(B21+B22)</f>
        <v>36000</v>
      </c>
      <c r="C24" s="1048"/>
      <c r="D24" s="1048"/>
      <c r="E24" s="1048"/>
    </row>
    <row r="25" spans="1:11" ht="30" customHeight="1" x14ac:dyDescent="0.25">
      <c r="A25" s="120" t="s">
        <v>305</v>
      </c>
      <c r="B25" s="1181">
        <f>B20/1000*K14+J17</f>
        <v>364.2912</v>
      </c>
      <c r="C25" s="1181"/>
      <c r="D25" s="1181"/>
      <c r="E25" s="1181"/>
      <c r="F25" s="6">
        <v>0.26100000000000001</v>
      </c>
    </row>
    <row r="26" spans="1:11" ht="30" customHeight="1" x14ac:dyDescent="0.25">
      <c r="A26" s="121" t="s">
        <v>303</v>
      </c>
      <c r="B26" s="1019">
        <f>B25/'[6]Objectifs CO2'!C9</f>
        <v>1.731851521361681</v>
      </c>
      <c r="C26" s="1019"/>
      <c r="D26" s="1019"/>
      <c r="E26" s="1019"/>
    </row>
    <row r="27" spans="1:11" ht="30" customHeight="1" x14ac:dyDescent="0.25">
      <c r="A27" s="101" t="s">
        <v>304</v>
      </c>
      <c r="B27" s="1045">
        <f>B25/'[6]Objectifs CO2'!C4</f>
        <v>0.34637030427233617</v>
      </c>
      <c r="C27" s="1045"/>
      <c r="D27" s="1045"/>
      <c r="E27" s="1045"/>
    </row>
    <row r="28" spans="1:11" ht="30" customHeight="1" x14ac:dyDescent="0.25">
      <c r="A28" s="101" t="s">
        <v>22</v>
      </c>
      <c r="B28" s="999"/>
      <c r="C28" s="999"/>
      <c r="D28" s="999"/>
      <c r="E28" s="999"/>
    </row>
    <row r="29" spans="1:11" ht="30" customHeight="1" x14ac:dyDescent="0.25">
      <c r="A29" s="122"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B5:E5"/>
    <mergeCell ref="B6:E6"/>
    <mergeCell ref="B7:E7"/>
    <mergeCell ref="B12:E12"/>
    <mergeCell ref="B17:E17"/>
    <mergeCell ref="B29:E29"/>
    <mergeCell ref="B18:E18"/>
    <mergeCell ref="B19:E19"/>
    <mergeCell ref="B20:E20"/>
    <mergeCell ref="B21:E21"/>
    <mergeCell ref="B22:E22"/>
    <mergeCell ref="B23:E23"/>
    <mergeCell ref="B24:E24"/>
    <mergeCell ref="B25:E25"/>
    <mergeCell ref="B26:E26"/>
    <mergeCell ref="B27:E27"/>
    <mergeCell ref="B28:E28"/>
    <mergeCell ref="B36:D36"/>
    <mergeCell ref="B13:E13"/>
    <mergeCell ref="B14:E14"/>
    <mergeCell ref="B15:E15"/>
    <mergeCell ref="B16:E16"/>
    <mergeCell ref="G8:G10"/>
    <mergeCell ref="Z5:AB5"/>
    <mergeCell ref="Z6:AA6"/>
    <mergeCell ref="Z8:AA8"/>
    <mergeCell ref="Z9:AA9"/>
    <mergeCell ref="Z10:AA10"/>
    <mergeCell ref="G7:H7"/>
    <mergeCell ref="G6:H6"/>
    <mergeCell ref="Z16:AA16"/>
    <mergeCell ref="Z11:AA11"/>
    <mergeCell ref="Z12:AA12"/>
    <mergeCell ref="Z13:AA13"/>
    <mergeCell ref="Z14:AA14"/>
    <mergeCell ref="Z15:AA15"/>
    <mergeCell ref="B11:E11"/>
    <mergeCell ref="B8:E8"/>
    <mergeCell ref="B9:E9"/>
    <mergeCell ref="B10:E10"/>
    <mergeCell ref="A1:E1"/>
    <mergeCell ref="B2:E2"/>
    <mergeCell ref="G2:H2"/>
    <mergeCell ref="B3:E3"/>
    <mergeCell ref="G3:H3"/>
    <mergeCell ref="B42:D42"/>
    <mergeCell ref="B44:D44"/>
    <mergeCell ref="B37:D37"/>
    <mergeCell ref="B38:D38"/>
    <mergeCell ref="B39:D39"/>
    <mergeCell ref="B40:D40"/>
    <mergeCell ref="B41:D41"/>
    <mergeCell ref="G4:H4"/>
    <mergeCell ref="G5:H5"/>
    <mergeCell ref="B31:D31"/>
    <mergeCell ref="B32:D32"/>
    <mergeCell ref="G32:I32"/>
    <mergeCell ref="B33:D33"/>
    <mergeCell ref="H33:I33"/>
    <mergeCell ref="G40:I40"/>
    <mergeCell ref="B34:D34"/>
    <mergeCell ref="H34:I34"/>
    <mergeCell ref="B35:D35"/>
    <mergeCell ref="H35:I35"/>
  </mergeCells>
  <conditionalFormatting sqref="B5">
    <cfRule type="containsText" dxfId="65" priority="1" operator="containsText" text="Terminé">
      <formula>NOT(ISERROR(SEARCH("Terminé",B5)))</formula>
    </cfRule>
    <cfRule type="containsText" dxfId="64" priority="2" operator="containsText" text="En cours">
      <formula>NOT(ISERROR(SEARCH("En cours",B5)))</formula>
    </cfRule>
    <cfRule type="containsText" dxfId="6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69"/>
  <sheetViews>
    <sheetView topLeftCell="A16" zoomScaleNormal="100" workbookViewId="0">
      <selection activeCell="G5" sqref="G5:H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788</v>
      </c>
      <c r="C2" s="1068"/>
      <c r="D2" s="1068"/>
      <c r="E2" s="1068"/>
      <c r="F2" s="7"/>
      <c r="G2" s="986" t="s">
        <v>751</v>
      </c>
      <c r="H2" s="986"/>
    </row>
    <row r="3" spans="1:28" ht="19.5" customHeight="1" x14ac:dyDescent="0.25">
      <c r="A3" s="409" t="s">
        <v>743</v>
      </c>
      <c r="B3" s="987" t="s">
        <v>749</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41</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thickBot="1" x14ac:dyDescent="0.3">
      <c r="A7" s="253" t="s">
        <v>475</v>
      </c>
      <c r="B7" s="994" t="s">
        <v>248</v>
      </c>
      <c r="C7" s="994"/>
      <c r="D7" s="994"/>
      <c r="E7" s="994"/>
      <c r="F7" s="7"/>
      <c r="G7" s="995" t="s">
        <v>756</v>
      </c>
      <c r="H7" s="995"/>
      <c r="I7" s="400"/>
      <c r="J7" s="400"/>
      <c r="Z7" s="401"/>
      <c r="AA7" s="402"/>
      <c r="AB7" s="357"/>
    </row>
    <row r="8" spans="1:28" ht="15.75" customHeight="1" thickBot="1" x14ac:dyDescent="0.3">
      <c r="A8" s="109" t="s">
        <v>1</v>
      </c>
      <c r="B8" s="967" t="s">
        <v>331</v>
      </c>
      <c r="C8" s="967"/>
      <c r="D8" s="967"/>
      <c r="E8" s="967"/>
      <c r="G8" s="997" t="s">
        <v>936</v>
      </c>
      <c r="Z8" s="1028" t="s">
        <v>611</v>
      </c>
      <c r="AA8" s="1029"/>
      <c r="AB8" s="357">
        <v>0.26819999999999999</v>
      </c>
    </row>
    <row r="9" spans="1:28" ht="15.75" thickBot="1" x14ac:dyDescent="0.3">
      <c r="A9" s="109" t="s">
        <v>0</v>
      </c>
      <c r="B9" s="967" t="s">
        <v>332</v>
      </c>
      <c r="C9" s="967"/>
      <c r="D9" s="967"/>
      <c r="E9" s="967"/>
      <c r="G9" s="997"/>
      <c r="Z9" s="1028" t="s">
        <v>612</v>
      </c>
      <c r="AA9" s="1029"/>
      <c r="AB9" s="357">
        <v>3.1300000000000001E-2</v>
      </c>
    </row>
    <row r="10" spans="1:28" ht="134.25" customHeight="1" x14ac:dyDescent="0.25">
      <c r="A10" s="110" t="s">
        <v>2</v>
      </c>
      <c r="B10" s="1034" t="s">
        <v>940</v>
      </c>
      <c r="C10" s="1035"/>
      <c r="D10" s="1035"/>
      <c r="E10" s="1035"/>
      <c r="G10" s="997"/>
      <c r="M10" s="7"/>
      <c r="Z10" s="1028"/>
      <c r="AA10" s="1029"/>
      <c r="AB10" s="357"/>
    </row>
    <row r="11" spans="1:28" ht="29.25" customHeight="1" x14ac:dyDescent="0.25">
      <c r="A11" s="110" t="s">
        <v>29</v>
      </c>
      <c r="B11" s="1034" t="s">
        <v>336</v>
      </c>
      <c r="C11" s="1035"/>
      <c r="D11" s="1035"/>
      <c r="E11" s="1035"/>
      <c r="G11" s="254">
        <v>2</v>
      </c>
      <c r="H11" s="131" t="s">
        <v>333</v>
      </c>
      <c r="Z11" s="1028" t="s">
        <v>613</v>
      </c>
      <c r="AA11" s="1029"/>
      <c r="AB11" s="357">
        <v>0.26819999999999999</v>
      </c>
    </row>
    <row r="12" spans="1:28" ht="30" customHeight="1" x14ac:dyDescent="0.25">
      <c r="A12" s="115" t="s">
        <v>14</v>
      </c>
      <c r="B12" s="1010" t="s">
        <v>939</v>
      </c>
      <c r="C12" s="1010"/>
      <c r="D12" s="1010"/>
      <c r="E12" s="1010"/>
      <c r="Z12" s="1028" t="s">
        <v>614</v>
      </c>
      <c r="AA12" s="1029"/>
      <c r="AB12" s="357">
        <v>1.18E-2</v>
      </c>
    </row>
    <row r="13" spans="1:28" ht="30" customHeight="1" x14ac:dyDescent="0.25">
      <c r="A13" s="115" t="s">
        <v>3</v>
      </c>
      <c r="B13" s="1011" t="s">
        <v>943</v>
      </c>
      <c r="C13" s="1011"/>
      <c r="D13" s="1011"/>
      <c r="E13" s="1011"/>
      <c r="G13" s="111" t="s">
        <v>333</v>
      </c>
      <c r="H13" s="111" t="s">
        <v>334</v>
      </c>
      <c r="I13" s="111" t="s">
        <v>335</v>
      </c>
      <c r="J13" s="111" t="s">
        <v>390</v>
      </c>
      <c r="K13" s="111" t="s">
        <v>391</v>
      </c>
      <c r="L13" s="112" t="s">
        <v>325</v>
      </c>
      <c r="Z13" s="1028" t="s">
        <v>615</v>
      </c>
      <c r="AA13" s="1029"/>
      <c r="AB13" s="358">
        <f>AB15/0.55</f>
        <v>0.50363636363636366</v>
      </c>
    </row>
    <row r="14" spans="1:28" ht="30" customHeight="1" x14ac:dyDescent="0.25">
      <c r="A14" s="115" t="s">
        <v>15</v>
      </c>
      <c r="B14" s="1010"/>
      <c r="C14" s="1010"/>
      <c r="D14" s="1010"/>
      <c r="E14" s="1010"/>
      <c r="G14" s="111">
        <f>SUM(G11:L11)</f>
        <v>2</v>
      </c>
      <c r="H14" s="111">
        <v>225</v>
      </c>
      <c r="I14" s="111">
        <v>0.9</v>
      </c>
      <c r="J14" s="111">
        <v>50</v>
      </c>
      <c r="K14" s="111">
        <v>100</v>
      </c>
      <c r="L14" s="112">
        <v>0.7</v>
      </c>
      <c r="Z14" s="1028" t="s">
        <v>616</v>
      </c>
      <c r="AA14" s="1029"/>
      <c r="AB14" s="357">
        <v>0.26819999999999999</v>
      </c>
    </row>
    <row r="15" spans="1:28" ht="30" customHeight="1" x14ac:dyDescent="0.25">
      <c r="A15" s="115" t="s">
        <v>4</v>
      </c>
      <c r="B15" s="1010">
        <v>2016</v>
      </c>
      <c r="C15" s="1010"/>
      <c r="D15" s="1010"/>
      <c r="E15" s="1010"/>
      <c r="Z15" s="1028" t="s">
        <v>578</v>
      </c>
      <c r="AA15" s="1029"/>
      <c r="AB15" s="357">
        <v>0.27700000000000002</v>
      </c>
    </row>
    <row r="16" spans="1:28" ht="30" customHeight="1" x14ac:dyDescent="0.25">
      <c r="A16" s="115" t="s">
        <v>5</v>
      </c>
      <c r="B16" s="1010">
        <v>2030</v>
      </c>
      <c r="C16" s="1010"/>
      <c r="D16" s="1010"/>
      <c r="E16" s="1010"/>
      <c r="Z16" s="1028" t="s">
        <v>579</v>
      </c>
      <c r="AA16" s="1029"/>
      <c r="AB16" s="357">
        <v>0.20269999999999999</v>
      </c>
    </row>
    <row r="17" spans="1:9" ht="30" customHeight="1" x14ac:dyDescent="0.25">
      <c r="A17" s="115" t="s">
        <v>6</v>
      </c>
      <c r="B17" s="1000">
        <f>G14*J14*K14</f>
        <v>10000</v>
      </c>
      <c r="C17" s="1000"/>
      <c r="D17" s="1000"/>
      <c r="E17" s="1000"/>
    </row>
    <row r="18" spans="1:9" ht="30" customHeight="1" x14ac:dyDescent="0.25">
      <c r="A18" s="115" t="s">
        <v>7</v>
      </c>
      <c r="B18" s="1000">
        <f>B17*L14</f>
        <v>7000</v>
      </c>
      <c r="C18" s="1000"/>
      <c r="D18" s="1000"/>
      <c r="E18" s="1000"/>
    </row>
    <row r="19" spans="1:9" ht="30" customHeight="1" x14ac:dyDescent="0.25">
      <c r="A19" s="118" t="s">
        <v>307</v>
      </c>
      <c r="B19" s="1177"/>
      <c r="C19" s="1178"/>
      <c r="D19" s="1178"/>
      <c r="E19" s="1178"/>
      <c r="G19" s="2"/>
      <c r="H19" s="2"/>
    </row>
    <row r="20" spans="1:9" ht="30" customHeight="1" x14ac:dyDescent="0.25">
      <c r="A20" s="119" t="s">
        <v>306</v>
      </c>
      <c r="B20" s="1179"/>
      <c r="C20" s="1180"/>
      <c r="D20" s="1180"/>
      <c r="E20" s="1180"/>
    </row>
    <row r="21" spans="1:9" ht="30" customHeight="1" x14ac:dyDescent="0.25">
      <c r="A21" s="115" t="s">
        <v>8</v>
      </c>
      <c r="B21" s="1000">
        <v>1</v>
      </c>
      <c r="C21" s="1000"/>
      <c r="D21" s="1000"/>
      <c r="E21" s="1000"/>
    </row>
    <row r="22" spans="1:9" ht="30" customHeight="1" x14ac:dyDescent="0.25">
      <c r="A22" s="115" t="s">
        <v>9</v>
      </c>
      <c r="B22" s="1010"/>
      <c r="C22" s="1010"/>
      <c r="D22" s="1010"/>
      <c r="E22" s="1010"/>
    </row>
    <row r="23" spans="1:9" ht="30" customHeight="1" x14ac:dyDescent="0.25">
      <c r="A23" s="115" t="s">
        <v>301</v>
      </c>
      <c r="B23" s="1016">
        <f>B17/(B21+B22)</f>
        <v>10000</v>
      </c>
      <c r="C23" s="1016"/>
      <c r="D23" s="1016"/>
      <c r="E23" s="1016"/>
    </row>
    <row r="24" spans="1:9" ht="30" customHeight="1" x14ac:dyDescent="0.25">
      <c r="A24" s="115" t="s">
        <v>330</v>
      </c>
      <c r="B24" s="1017">
        <f>(B17-B18)/(B21+B22)</f>
        <v>3000</v>
      </c>
      <c r="C24" s="1017"/>
      <c r="D24" s="1017"/>
      <c r="E24" s="1017"/>
    </row>
    <row r="25" spans="1:9" ht="30" customHeight="1" x14ac:dyDescent="0.25">
      <c r="A25" s="120" t="s">
        <v>305</v>
      </c>
      <c r="B25" s="1181">
        <f>H14*I14</f>
        <v>202.5</v>
      </c>
      <c r="C25" s="1181"/>
      <c r="D25" s="1181"/>
      <c r="E25" s="1181"/>
      <c r="F25" s="6">
        <v>0.26100000000000001</v>
      </c>
    </row>
    <row r="26" spans="1:9" ht="30" customHeight="1" x14ac:dyDescent="0.25">
      <c r="A26" s="121" t="s">
        <v>303</v>
      </c>
      <c r="B26" s="1019">
        <f>B25/'[6]Objectifs CO2'!C9</f>
        <v>0.96269120164236843</v>
      </c>
      <c r="C26" s="1019"/>
      <c r="D26" s="1019"/>
      <c r="E26" s="1019"/>
    </row>
    <row r="27" spans="1:9" ht="30" customHeight="1" x14ac:dyDescent="0.25">
      <c r="A27" s="101" t="s">
        <v>304</v>
      </c>
      <c r="B27" s="1045">
        <f>B25/'[6]Objectifs CO2'!C4</f>
        <v>0.19253824032847369</v>
      </c>
      <c r="C27" s="1045"/>
      <c r="D27" s="1045"/>
      <c r="E27" s="1045"/>
    </row>
    <row r="28" spans="1:9" ht="30" customHeight="1" x14ac:dyDescent="0.25">
      <c r="A28" s="101" t="s">
        <v>22</v>
      </c>
      <c r="B28" s="999"/>
      <c r="C28" s="999"/>
      <c r="D28" s="999"/>
      <c r="E28" s="999"/>
    </row>
    <row r="29" spans="1:9" ht="30" customHeight="1" x14ac:dyDescent="0.25">
      <c r="A29" s="122" t="s">
        <v>257</v>
      </c>
      <c r="B29" s="999"/>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B5:E5"/>
    <mergeCell ref="B6:E6"/>
    <mergeCell ref="B7:E7"/>
    <mergeCell ref="B12:E12"/>
    <mergeCell ref="B17:E17"/>
    <mergeCell ref="B29:E29"/>
    <mergeCell ref="B18:E18"/>
    <mergeCell ref="B19:E19"/>
    <mergeCell ref="B20:E20"/>
    <mergeCell ref="B21:E21"/>
    <mergeCell ref="B22:E22"/>
    <mergeCell ref="B23:E23"/>
    <mergeCell ref="B24:E24"/>
    <mergeCell ref="B25:E25"/>
    <mergeCell ref="B26:E26"/>
    <mergeCell ref="B27:E27"/>
    <mergeCell ref="B28:E28"/>
    <mergeCell ref="B36:D36"/>
    <mergeCell ref="B13:E13"/>
    <mergeCell ref="B14:E14"/>
    <mergeCell ref="B15:E15"/>
    <mergeCell ref="B16:E16"/>
    <mergeCell ref="G8:G10"/>
    <mergeCell ref="Z5:AB5"/>
    <mergeCell ref="Z6:AA6"/>
    <mergeCell ref="Z8:AA8"/>
    <mergeCell ref="Z9:AA9"/>
    <mergeCell ref="Z10:AA10"/>
    <mergeCell ref="G7:H7"/>
    <mergeCell ref="G6:H6"/>
    <mergeCell ref="Z16:AA16"/>
    <mergeCell ref="Z11:AA11"/>
    <mergeCell ref="Z12:AA12"/>
    <mergeCell ref="Z13:AA13"/>
    <mergeCell ref="Z14:AA14"/>
    <mergeCell ref="Z15:AA15"/>
    <mergeCell ref="B11:E11"/>
    <mergeCell ref="B8:E8"/>
    <mergeCell ref="B9:E9"/>
    <mergeCell ref="B10:E10"/>
    <mergeCell ref="A1:E1"/>
    <mergeCell ref="B2:E2"/>
    <mergeCell ref="G2:H2"/>
    <mergeCell ref="B3:E3"/>
    <mergeCell ref="G3:H3"/>
    <mergeCell ref="B42:D42"/>
    <mergeCell ref="B44:D44"/>
    <mergeCell ref="B37:D37"/>
    <mergeCell ref="B38:D38"/>
    <mergeCell ref="B39:D39"/>
    <mergeCell ref="B40:D40"/>
    <mergeCell ref="B41:D41"/>
    <mergeCell ref="G4:H4"/>
    <mergeCell ref="G5:H5"/>
    <mergeCell ref="B31:D31"/>
    <mergeCell ref="B32:D32"/>
    <mergeCell ref="G32:I32"/>
    <mergeCell ref="B33:D33"/>
    <mergeCell ref="H33:I33"/>
    <mergeCell ref="G40:I40"/>
    <mergeCell ref="B34:D34"/>
    <mergeCell ref="H34:I34"/>
    <mergeCell ref="B35:D35"/>
    <mergeCell ref="H35:I35"/>
  </mergeCells>
  <conditionalFormatting sqref="B5">
    <cfRule type="containsText" dxfId="62" priority="1" operator="containsText" text="Terminé">
      <formula>NOT(ISERROR(SEARCH("Terminé",B5)))</formula>
    </cfRule>
    <cfRule type="containsText" dxfId="61" priority="2" operator="containsText" text="En cours">
      <formula>NOT(ISERROR(SEARCH("En cours",B5)))</formula>
    </cfRule>
    <cfRule type="containsText" dxfId="6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69"/>
  <sheetViews>
    <sheetView topLeftCell="B19"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787</v>
      </c>
      <c r="C2" s="1068"/>
      <c r="D2" s="1068"/>
      <c r="E2" s="1068"/>
      <c r="F2" s="7"/>
      <c r="G2" s="986" t="s">
        <v>751</v>
      </c>
      <c r="H2" s="986"/>
    </row>
    <row r="3" spans="1:28" ht="19.5" customHeight="1" x14ac:dyDescent="0.25">
      <c r="A3" s="409" t="s">
        <v>743</v>
      </c>
      <c r="B3" s="987" t="s">
        <v>749</v>
      </c>
      <c r="C3" s="987"/>
      <c r="D3" s="987"/>
      <c r="E3" s="987"/>
      <c r="F3" s="7"/>
      <c r="G3" s="986" t="s">
        <v>752</v>
      </c>
      <c r="H3" s="986"/>
    </row>
    <row r="4" spans="1:28" ht="19.5" customHeight="1" x14ac:dyDescent="0.25">
      <c r="A4" s="403" t="s">
        <v>292</v>
      </c>
      <c r="B4" s="996" t="s">
        <v>36</v>
      </c>
      <c r="C4" s="996"/>
      <c r="D4" s="996"/>
      <c r="E4" s="996"/>
      <c r="F4" s="7"/>
      <c r="G4" s="986" t="s">
        <v>753</v>
      </c>
      <c r="H4" s="986"/>
    </row>
    <row r="5" spans="1:28" ht="19.5" customHeight="1" x14ac:dyDescent="0.25">
      <c r="A5" s="403" t="s">
        <v>16</v>
      </c>
      <c r="B5" s="1015" t="s">
        <v>41</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thickBot="1" x14ac:dyDescent="0.3">
      <c r="A7" s="253" t="s">
        <v>475</v>
      </c>
      <c r="B7" s="994" t="s">
        <v>248</v>
      </c>
      <c r="C7" s="994"/>
      <c r="D7" s="994"/>
      <c r="E7" s="994"/>
      <c r="F7" s="7"/>
      <c r="G7" s="995" t="s">
        <v>756</v>
      </c>
      <c r="H7" s="995"/>
      <c r="I7" s="400"/>
      <c r="J7" s="400"/>
      <c r="Z7" s="401"/>
      <c r="AA7" s="402"/>
      <c r="AB7" s="357"/>
    </row>
    <row r="8" spans="1:28" ht="15.75" customHeight="1" thickBot="1" x14ac:dyDescent="0.3">
      <c r="A8" s="109" t="s">
        <v>1</v>
      </c>
      <c r="B8" s="967" t="s">
        <v>438</v>
      </c>
      <c r="C8" s="967"/>
      <c r="D8" s="967"/>
      <c r="E8" s="967"/>
      <c r="G8" s="997" t="s">
        <v>936</v>
      </c>
      <c r="Z8" s="1028" t="s">
        <v>611</v>
      </c>
      <c r="AA8" s="1029"/>
      <c r="AB8" s="357">
        <v>0.26819999999999999</v>
      </c>
    </row>
    <row r="9" spans="1:28" ht="15.75" thickBot="1" x14ac:dyDescent="0.3">
      <c r="A9" s="109" t="s">
        <v>0</v>
      </c>
      <c r="B9" s="967" t="s">
        <v>1064</v>
      </c>
      <c r="C9" s="967"/>
      <c r="D9" s="967"/>
      <c r="E9" s="967"/>
      <c r="G9" s="997"/>
      <c r="Z9" s="1028" t="s">
        <v>612</v>
      </c>
      <c r="AA9" s="1029"/>
      <c r="AB9" s="357">
        <v>3.1300000000000001E-2</v>
      </c>
    </row>
    <row r="10" spans="1:28" ht="58.5" customHeight="1" x14ac:dyDescent="0.25">
      <c r="A10" s="110" t="s">
        <v>2</v>
      </c>
      <c r="B10" s="1034" t="s">
        <v>1063</v>
      </c>
      <c r="C10" s="1035"/>
      <c r="D10" s="1035"/>
      <c r="E10" s="1035"/>
      <c r="G10" s="997"/>
      <c r="M10" s="7"/>
      <c r="Z10" s="1028"/>
      <c r="AA10" s="1029"/>
      <c r="AB10" s="357"/>
    </row>
    <row r="11" spans="1:28" ht="29.25" customHeight="1" x14ac:dyDescent="0.25">
      <c r="A11" s="110" t="s">
        <v>29</v>
      </c>
      <c r="B11" s="1034"/>
      <c r="C11" s="1035"/>
      <c r="D11" s="1035"/>
      <c r="E11" s="1035"/>
      <c r="G11" s="254">
        <v>50</v>
      </c>
      <c r="H11" s="131" t="s">
        <v>333</v>
      </c>
      <c r="Z11" s="1028" t="s">
        <v>613</v>
      </c>
      <c r="AA11" s="1029"/>
      <c r="AB11" s="357">
        <v>0.26819999999999999</v>
      </c>
    </row>
    <row r="12" spans="1:28" ht="30" customHeight="1" x14ac:dyDescent="0.25">
      <c r="A12" s="115" t="s">
        <v>14</v>
      </c>
      <c r="B12" s="1010" t="s">
        <v>36</v>
      </c>
      <c r="C12" s="1010"/>
      <c r="D12" s="1010"/>
      <c r="E12" s="1010"/>
      <c r="Z12" s="1028" t="s">
        <v>614</v>
      </c>
      <c r="AA12" s="1029"/>
      <c r="AB12" s="357">
        <v>1.18E-2</v>
      </c>
    </row>
    <row r="13" spans="1:28" ht="30" customHeight="1" x14ac:dyDescent="0.25">
      <c r="A13" s="115" t="s">
        <v>3</v>
      </c>
      <c r="B13" s="1010"/>
      <c r="C13" s="1010"/>
      <c r="D13" s="1010"/>
      <c r="E13" s="1010"/>
      <c r="G13" s="111" t="s">
        <v>333</v>
      </c>
      <c r="H13" s="111" t="s">
        <v>439</v>
      </c>
      <c r="I13" s="111" t="s">
        <v>440</v>
      </c>
      <c r="J13" s="111" t="s">
        <v>441</v>
      </c>
      <c r="K13" s="111" t="s">
        <v>442</v>
      </c>
      <c r="L13" s="112" t="s">
        <v>443</v>
      </c>
      <c r="Z13" s="1028" t="s">
        <v>615</v>
      </c>
      <c r="AA13" s="1029"/>
      <c r="AB13" s="358">
        <f>AB15/0.55</f>
        <v>0.50363636363636366</v>
      </c>
    </row>
    <row r="14" spans="1:28" ht="30" customHeight="1" x14ac:dyDescent="0.25">
      <c r="A14" s="115" t="s">
        <v>15</v>
      </c>
      <c r="B14" s="1010"/>
      <c r="C14" s="1010"/>
      <c r="D14" s="1010"/>
      <c r="E14" s="1010"/>
      <c r="G14" s="111">
        <f>SUM(G11:L11)</f>
        <v>50</v>
      </c>
      <c r="H14" s="111">
        <f>G14*12</f>
        <v>600</v>
      </c>
      <c r="I14" s="111">
        <f>G14*4000</f>
        <v>200000</v>
      </c>
      <c r="J14" s="111">
        <f>AB8</f>
        <v>0.26819999999999999</v>
      </c>
      <c r="K14" s="111">
        <v>500</v>
      </c>
      <c r="L14" s="112">
        <v>70</v>
      </c>
      <c r="Z14" s="1028" t="s">
        <v>616</v>
      </c>
      <c r="AA14" s="1029"/>
      <c r="AB14" s="357">
        <v>0.26819999999999999</v>
      </c>
    </row>
    <row r="15" spans="1:28" ht="30" customHeight="1" x14ac:dyDescent="0.25">
      <c r="A15" s="115" t="s">
        <v>4</v>
      </c>
      <c r="B15" s="1010">
        <v>2020</v>
      </c>
      <c r="C15" s="1010"/>
      <c r="D15" s="1010"/>
      <c r="E15" s="1010"/>
      <c r="Z15" s="1028" t="s">
        <v>578</v>
      </c>
      <c r="AA15" s="1029"/>
      <c r="AB15" s="357">
        <v>0.27700000000000002</v>
      </c>
    </row>
    <row r="16" spans="1:28" ht="30" customHeight="1" x14ac:dyDescent="0.25">
      <c r="A16" s="115" t="s">
        <v>5</v>
      </c>
      <c r="B16" s="1010">
        <v>2030</v>
      </c>
      <c r="C16" s="1010"/>
      <c r="D16" s="1010"/>
      <c r="E16" s="1010"/>
      <c r="Z16" s="1028" t="s">
        <v>579</v>
      </c>
      <c r="AA16" s="1029"/>
      <c r="AB16" s="357">
        <v>0.20269999999999999</v>
      </c>
    </row>
    <row r="17" spans="1:9" ht="30" customHeight="1" x14ac:dyDescent="0.25">
      <c r="A17" s="115" t="s">
        <v>6</v>
      </c>
      <c r="B17" s="1000">
        <f>G14*K14</f>
        <v>25000</v>
      </c>
      <c r="C17" s="1000"/>
      <c r="D17" s="1000"/>
      <c r="E17" s="1000"/>
    </row>
    <row r="18" spans="1:9" ht="30" customHeight="1" x14ac:dyDescent="0.25">
      <c r="A18" s="115" t="s">
        <v>7</v>
      </c>
      <c r="B18" s="1000">
        <f>B17*0.7</f>
        <v>17500</v>
      </c>
      <c r="C18" s="1000"/>
      <c r="D18" s="1000"/>
      <c r="E18" s="1000"/>
    </row>
    <row r="19" spans="1:9" ht="30" customHeight="1" x14ac:dyDescent="0.25">
      <c r="A19" s="118" t="s">
        <v>307</v>
      </c>
      <c r="B19" s="1177"/>
      <c r="C19" s="1178"/>
      <c r="D19" s="1178"/>
      <c r="E19" s="1178"/>
      <c r="G19" s="2"/>
      <c r="H19" s="2"/>
    </row>
    <row r="20" spans="1:9" ht="30" customHeight="1" x14ac:dyDescent="0.25">
      <c r="A20" s="119" t="s">
        <v>306</v>
      </c>
      <c r="B20" s="1179">
        <f>I14*10</f>
        <v>2000000</v>
      </c>
      <c r="C20" s="1180"/>
      <c r="D20" s="1180"/>
      <c r="E20" s="1180"/>
    </row>
    <row r="21" spans="1:9" ht="30" customHeight="1" x14ac:dyDescent="0.25">
      <c r="A21" s="115" t="s">
        <v>8</v>
      </c>
      <c r="B21" s="1000">
        <f>H14*L14</f>
        <v>42000</v>
      </c>
      <c r="C21" s="1000"/>
      <c r="D21" s="1000"/>
      <c r="E21" s="1000"/>
    </row>
    <row r="22" spans="1:9" ht="30" customHeight="1" x14ac:dyDescent="0.25">
      <c r="A22" s="115" t="s">
        <v>9</v>
      </c>
      <c r="B22" s="1010"/>
      <c r="C22" s="1010"/>
      <c r="D22" s="1010"/>
      <c r="E22" s="1010"/>
    </row>
    <row r="23" spans="1:9" ht="30" customHeight="1" x14ac:dyDescent="0.25">
      <c r="A23" s="115" t="s">
        <v>301</v>
      </c>
      <c r="B23" s="1016">
        <f>B17/(B21+B22)</f>
        <v>0.59523809523809523</v>
      </c>
      <c r="C23" s="1016"/>
      <c r="D23" s="1016"/>
      <c r="E23" s="1016"/>
    </row>
    <row r="24" spans="1:9" ht="30" customHeight="1" x14ac:dyDescent="0.25">
      <c r="A24" s="115" t="s">
        <v>330</v>
      </c>
      <c r="B24" s="1017">
        <f>(B17-B18)/(B21+B22)</f>
        <v>0.17857142857142858</v>
      </c>
      <c r="C24" s="1017"/>
      <c r="D24" s="1017"/>
      <c r="E24" s="1017"/>
    </row>
    <row r="25" spans="1:9" ht="30" customHeight="1" x14ac:dyDescent="0.25">
      <c r="A25" s="120" t="s">
        <v>305</v>
      </c>
      <c r="B25" s="1181">
        <f>B20*J14/1000</f>
        <v>536.4</v>
      </c>
      <c r="C25" s="1181"/>
      <c r="D25" s="1181"/>
      <c r="E25" s="1181"/>
      <c r="F25" s="6">
        <v>0.26100000000000001</v>
      </c>
    </row>
    <row r="26" spans="1:9" ht="30" customHeight="1" x14ac:dyDescent="0.25">
      <c r="A26" s="121" t="s">
        <v>303</v>
      </c>
      <c r="B26" s="1019">
        <f>B25/'Objectifs CO2'!C6</f>
        <v>0.49479472791708706</v>
      </c>
      <c r="C26" s="1019"/>
      <c r="D26" s="1019"/>
      <c r="E26" s="1019"/>
    </row>
    <row r="27" spans="1:9" ht="30" customHeight="1" x14ac:dyDescent="0.25">
      <c r="A27" s="101" t="s">
        <v>304</v>
      </c>
      <c r="B27" s="1045">
        <f>B25/'Objectifs CO2'!C4</f>
        <v>2.4739736395854351E-2</v>
      </c>
      <c r="C27" s="1045"/>
      <c r="D27" s="1045"/>
      <c r="E27" s="1045"/>
    </row>
    <row r="28" spans="1:9" ht="30" customHeight="1" x14ac:dyDescent="0.25">
      <c r="A28" s="101" t="s">
        <v>22</v>
      </c>
      <c r="B28" s="999"/>
      <c r="C28" s="999"/>
      <c r="D28" s="999"/>
      <c r="E28" s="999"/>
    </row>
    <row r="29" spans="1:9" ht="30" customHeight="1" x14ac:dyDescent="0.25">
      <c r="A29" s="122" t="s">
        <v>257</v>
      </c>
      <c r="B29" s="999"/>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0:E20"/>
    <mergeCell ref="B9:E9"/>
    <mergeCell ref="B10:E10"/>
    <mergeCell ref="B11:E11"/>
    <mergeCell ref="B12:E12"/>
    <mergeCell ref="B13:E13"/>
    <mergeCell ref="B19:E19"/>
    <mergeCell ref="B17:E17"/>
    <mergeCell ref="B18:E18"/>
    <mergeCell ref="B16:E16"/>
    <mergeCell ref="B27:E27"/>
    <mergeCell ref="B28:E28"/>
    <mergeCell ref="B29:E29"/>
    <mergeCell ref="B21:E21"/>
    <mergeCell ref="B22:E22"/>
    <mergeCell ref="B23:E23"/>
    <mergeCell ref="B24:E24"/>
    <mergeCell ref="B25:E25"/>
    <mergeCell ref="B26:E26"/>
    <mergeCell ref="Z5:AB5"/>
    <mergeCell ref="Z6:AA6"/>
    <mergeCell ref="Z8:AA8"/>
    <mergeCell ref="Z9:AA9"/>
    <mergeCell ref="Z10:AA10"/>
    <mergeCell ref="Z16:AA16"/>
    <mergeCell ref="Z11:AA11"/>
    <mergeCell ref="Z12:AA12"/>
    <mergeCell ref="Z13:AA13"/>
    <mergeCell ref="Z14:AA14"/>
    <mergeCell ref="Z15:AA15"/>
    <mergeCell ref="B42:D42"/>
    <mergeCell ref="B44:D44"/>
    <mergeCell ref="B37:D37"/>
    <mergeCell ref="B38:D38"/>
    <mergeCell ref="B39:D39"/>
    <mergeCell ref="B40:D40"/>
    <mergeCell ref="B41:D41"/>
    <mergeCell ref="B7:E7"/>
    <mergeCell ref="G7:H7"/>
    <mergeCell ref="B31:D31"/>
    <mergeCell ref="B32:D32"/>
    <mergeCell ref="G32:I32"/>
    <mergeCell ref="B33:D33"/>
    <mergeCell ref="H33:I33"/>
    <mergeCell ref="G40:I40"/>
    <mergeCell ref="B34:D34"/>
    <mergeCell ref="H34:I34"/>
    <mergeCell ref="B35:D35"/>
    <mergeCell ref="H35:I35"/>
    <mergeCell ref="B36:D36"/>
    <mergeCell ref="B8:E8"/>
    <mergeCell ref="G8:G10"/>
    <mergeCell ref="B14:E14"/>
    <mergeCell ref="B15:E15"/>
    <mergeCell ref="A1:E1"/>
    <mergeCell ref="B2:E2"/>
    <mergeCell ref="G2:H2"/>
    <mergeCell ref="B3:E3"/>
    <mergeCell ref="G3:H3"/>
    <mergeCell ref="G4:H4"/>
    <mergeCell ref="G5:H5"/>
    <mergeCell ref="G6:H6"/>
    <mergeCell ref="B4:E4"/>
    <mergeCell ref="B5:E5"/>
    <mergeCell ref="B6:E6"/>
  </mergeCells>
  <conditionalFormatting sqref="B5">
    <cfRule type="containsText" dxfId="59" priority="1" operator="containsText" text="Terminé">
      <formula>NOT(ISERROR(SEARCH("Terminé",B5)))</formula>
    </cfRule>
    <cfRule type="containsText" dxfId="58" priority="2" operator="containsText" text="En cours">
      <formula>NOT(ISERROR(SEARCH("En cours",B5)))</formula>
    </cfRule>
    <cfRule type="containsText" dxfId="5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B69"/>
  <sheetViews>
    <sheetView zoomScaleNormal="100"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786</v>
      </c>
      <c r="C2" s="1068"/>
      <c r="D2" s="1068"/>
      <c r="E2" s="1068"/>
      <c r="F2" s="7"/>
      <c r="G2" s="986" t="s">
        <v>751</v>
      </c>
      <c r="H2" s="986"/>
    </row>
    <row r="3" spans="1:28" ht="19.5" customHeight="1" x14ac:dyDescent="0.25">
      <c r="A3" s="597" t="s">
        <v>743</v>
      </c>
      <c r="B3" s="987" t="s">
        <v>749</v>
      </c>
      <c r="C3" s="987"/>
      <c r="D3" s="987"/>
      <c r="E3" s="987"/>
      <c r="F3" s="7"/>
      <c r="G3" s="986" t="s">
        <v>752</v>
      </c>
      <c r="H3" s="986"/>
    </row>
    <row r="4" spans="1:28" ht="19.5" customHeight="1" x14ac:dyDescent="0.25">
      <c r="A4" s="598" t="s">
        <v>292</v>
      </c>
      <c r="B4" s="996" t="s">
        <v>36</v>
      </c>
      <c r="C4" s="996"/>
      <c r="D4" s="996"/>
      <c r="E4" s="996"/>
      <c r="F4" s="7"/>
      <c r="G4" s="986" t="s">
        <v>753</v>
      </c>
      <c r="H4" s="986"/>
    </row>
    <row r="5" spans="1:28" ht="19.5" customHeight="1" x14ac:dyDescent="0.25">
      <c r="A5" s="598"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thickBot="1" x14ac:dyDescent="0.3">
      <c r="A7" s="253" t="s">
        <v>475</v>
      </c>
      <c r="B7" s="994" t="s">
        <v>248</v>
      </c>
      <c r="C7" s="994"/>
      <c r="D7" s="994"/>
      <c r="E7" s="994"/>
      <c r="F7" s="7"/>
      <c r="G7" s="995" t="s">
        <v>756</v>
      </c>
      <c r="H7" s="995"/>
      <c r="I7" s="601"/>
      <c r="J7" s="601"/>
      <c r="Z7" s="599"/>
      <c r="AA7" s="600"/>
      <c r="AB7" s="357"/>
    </row>
    <row r="8" spans="1:28" ht="15.75" customHeight="1" thickBot="1" x14ac:dyDescent="0.3">
      <c r="A8" s="109" t="s">
        <v>1</v>
      </c>
      <c r="B8" s="967" t="s">
        <v>318</v>
      </c>
      <c r="C8" s="967"/>
      <c r="D8" s="967"/>
      <c r="E8" s="967"/>
      <c r="G8" s="997" t="s">
        <v>936</v>
      </c>
      <c r="Z8" s="1028" t="s">
        <v>611</v>
      </c>
      <c r="AA8" s="1029"/>
      <c r="AB8" s="357">
        <v>0.26819999999999999</v>
      </c>
    </row>
    <row r="9" spans="1:28" ht="15.75" thickBot="1" x14ac:dyDescent="0.3">
      <c r="A9" s="109" t="s">
        <v>0</v>
      </c>
      <c r="B9" s="967" t="s">
        <v>319</v>
      </c>
      <c r="C9" s="967"/>
      <c r="D9" s="967"/>
      <c r="E9" s="967"/>
      <c r="G9" s="997"/>
      <c r="Z9" s="1028" t="s">
        <v>612</v>
      </c>
      <c r="AA9" s="1029"/>
      <c r="AB9" s="357">
        <v>3.1300000000000001E-2</v>
      </c>
    </row>
    <row r="10" spans="1:28" ht="15.75" x14ac:dyDescent="0.25">
      <c r="A10" s="110" t="s">
        <v>2</v>
      </c>
      <c r="B10" s="1034" t="s">
        <v>1066</v>
      </c>
      <c r="C10" s="1035"/>
      <c r="D10" s="1035"/>
      <c r="E10" s="1035"/>
      <c r="G10" s="997"/>
      <c r="M10" s="7"/>
      <c r="Z10" s="1028"/>
      <c r="AA10" s="1029"/>
      <c r="AB10" s="357"/>
    </row>
    <row r="11" spans="1:28" ht="143.25" customHeight="1" x14ac:dyDescent="0.25">
      <c r="A11" s="110" t="s">
        <v>29</v>
      </c>
      <c r="B11" s="1034" t="s">
        <v>764</v>
      </c>
      <c r="C11" s="1035"/>
      <c r="D11" s="1035"/>
      <c r="E11" s="1035"/>
      <c r="G11" s="254">
        <v>5</v>
      </c>
      <c r="H11" s="131" t="s">
        <v>829</v>
      </c>
      <c r="Z11" s="1028" t="s">
        <v>613</v>
      </c>
      <c r="AA11" s="1029"/>
      <c r="AB11" s="357">
        <v>0.26819999999999999</v>
      </c>
    </row>
    <row r="12" spans="1:28" ht="30" customHeight="1" x14ac:dyDescent="0.25">
      <c r="A12" s="115" t="s">
        <v>14</v>
      </c>
      <c r="B12" s="1010" t="s">
        <v>36</v>
      </c>
      <c r="C12" s="1010"/>
      <c r="D12" s="1010"/>
      <c r="E12" s="1010"/>
      <c r="Z12" s="1028" t="s">
        <v>614</v>
      </c>
      <c r="AA12" s="1029"/>
      <c r="AB12" s="357">
        <v>1.18E-2</v>
      </c>
    </row>
    <row r="13" spans="1:28" ht="30" customHeight="1" x14ac:dyDescent="0.25">
      <c r="A13" s="115" t="s">
        <v>3</v>
      </c>
      <c r="B13" s="1011"/>
      <c r="C13" s="1011"/>
      <c r="D13" s="1011"/>
      <c r="E13" s="1011"/>
      <c r="G13" s="111" t="s">
        <v>320</v>
      </c>
      <c r="H13" s="111" t="s">
        <v>321</v>
      </c>
      <c r="I13" s="112" t="s">
        <v>322</v>
      </c>
      <c r="J13" s="112" t="s">
        <v>323</v>
      </c>
      <c r="K13" s="112" t="s">
        <v>118</v>
      </c>
      <c r="L13" s="113" t="s">
        <v>324</v>
      </c>
      <c r="M13" s="112" t="s">
        <v>325</v>
      </c>
      <c r="Z13" s="1028" t="s">
        <v>615</v>
      </c>
      <c r="AA13" s="1029"/>
      <c r="AB13" s="358">
        <f>AB15/0.55</f>
        <v>0.50363636363636366</v>
      </c>
    </row>
    <row r="14" spans="1:28" ht="30" customHeight="1" x14ac:dyDescent="0.25">
      <c r="A14" s="115" t="s">
        <v>15</v>
      </c>
      <c r="B14" s="1010"/>
      <c r="C14" s="1010"/>
      <c r="D14" s="1010"/>
      <c r="E14" s="1010"/>
      <c r="G14" s="111">
        <f>SUM(G11:L11)</f>
        <v>5</v>
      </c>
      <c r="H14" s="111">
        <v>2</v>
      </c>
      <c r="I14" s="112">
        <f>G14*H14</f>
        <v>10</v>
      </c>
      <c r="J14" s="112">
        <f>I14*100</f>
        <v>1000</v>
      </c>
      <c r="K14" s="112">
        <f>AB8</f>
        <v>0.26819999999999999</v>
      </c>
      <c r="L14" s="114">
        <v>15</v>
      </c>
      <c r="M14" s="112">
        <v>0.7</v>
      </c>
      <c r="Z14" s="1028" t="s">
        <v>616</v>
      </c>
      <c r="AA14" s="1029"/>
      <c r="AB14" s="357">
        <v>0.26819999999999999</v>
      </c>
    </row>
    <row r="15" spans="1:28" ht="30" customHeight="1" x14ac:dyDescent="0.25">
      <c r="A15" s="115" t="s">
        <v>4</v>
      </c>
      <c r="B15" s="1010">
        <v>2016</v>
      </c>
      <c r="C15" s="1010"/>
      <c r="D15" s="1010"/>
      <c r="E15" s="1010"/>
      <c r="Z15" s="1028" t="s">
        <v>578</v>
      </c>
      <c r="AA15" s="1029"/>
      <c r="AB15" s="357">
        <v>0.27700000000000002</v>
      </c>
    </row>
    <row r="16" spans="1:28" ht="30" customHeight="1" x14ac:dyDescent="0.25">
      <c r="A16" s="115" t="s">
        <v>5</v>
      </c>
      <c r="B16" s="1010">
        <v>2030</v>
      </c>
      <c r="C16" s="1010"/>
      <c r="D16" s="1010"/>
      <c r="E16" s="1010"/>
      <c r="H16" s="112" t="s">
        <v>326</v>
      </c>
      <c r="I16" s="112" t="s">
        <v>327</v>
      </c>
      <c r="J16" s="112" t="s">
        <v>328</v>
      </c>
      <c r="K16" s="112" t="s">
        <v>329</v>
      </c>
      <c r="Z16" s="1028" t="s">
        <v>579</v>
      </c>
      <c r="AA16" s="1029"/>
      <c r="AB16" s="357">
        <v>0.20269999999999999</v>
      </c>
    </row>
    <row r="17" spans="1:11" ht="30" customHeight="1" x14ac:dyDescent="0.25">
      <c r="A17" s="115" t="s">
        <v>6</v>
      </c>
      <c r="B17" s="1000">
        <f>G14*1000*L14</f>
        <v>75000</v>
      </c>
      <c r="C17" s="1000"/>
      <c r="D17" s="1000"/>
      <c r="E17" s="1000"/>
      <c r="H17" s="116">
        <v>100</v>
      </c>
      <c r="I17" s="116">
        <f>G14*H17</f>
        <v>500</v>
      </c>
      <c r="J17" s="117">
        <f>I17*K17</f>
        <v>450</v>
      </c>
      <c r="K17" s="116">
        <v>0.9</v>
      </c>
    </row>
    <row r="18" spans="1:11" ht="30" customHeight="1" x14ac:dyDescent="0.25">
      <c r="A18" s="115" t="s">
        <v>7</v>
      </c>
      <c r="B18" s="1000">
        <f>B17*M14</f>
        <v>52500</v>
      </c>
      <c r="C18" s="1000"/>
      <c r="D18" s="1000"/>
      <c r="E18" s="1000"/>
    </row>
    <row r="19" spans="1:11" ht="30" customHeight="1" x14ac:dyDescent="0.25">
      <c r="A19" s="118" t="s">
        <v>307</v>
      </c>
      <c r="B19" s="1177"/>
      <c r="C19" s="1178"/>
      <c r="D19" s="1178"/>
      <c r="E19" s="1178"/>
      <c r="G19" s="2"/>
      <c r="H19" s="2"/>
    </row>
    <row r="20" spans="1:11" ht="30" customHeight="1" x14ac:dyDescent="0.25">
      <c r="A20" s="119" t="s">
        <v>306</v>
      </c>
      <c r="B20" s="1179">
        <f>J14*10</f>
        <v>10000</v>
      </c>
      <c r="C20" s="1180"/>
      <c r="D20" s="1180"/>
      <c r="E20" s="1180"/>
    </row>
    <row r="21" spans="1:11" ht="30" customHeight="1" x14ac:dyDescent="0.25">
      <c r="A21" s="115" t="s">
        <v>8</v>
      </c>
      <c r="B21" s="1000">
        <v>1</v>
      </c>
      <c r="C21" s="1000"/>
      <c r="D21" s="1000"/>
      <c r="E21" s="1000"/>
    </row>
    <row r="22" spans="1:11" ht="30" customHeight="1" x14ac:dyDescent="0.25">
      <c r="A22" s="115" t="s">
        <v>9</v>
      </c>
      <c r="B22" s="1010"/>
      <c r="C22" s="1010"/>
      <c r="D22" s="1010"/>
      <c r="E22" s="1010"/>
    </row>
    <row r="23" spans="1:11" ht="30" customHeight="1" x14ac:dyDescent="0.25">
      <c r="A23" s="115" t="s">
        <v>301</v>
      </c>
      <c r="B23" s="1016">
        <f>B17/(B21+B22)</f>
        <v>75000</v>
      </c>
      <c r="C23" s="1016"/>
      <c r="D23" s="1016"/>
      <c r="E23" s="1016"/>
    </row>
    <row r="24" spans="1:11" ht="30" customHeight="1" x14ac:dyDescent="0.25">
      <c r="A24" s="115" t="s">
        <v>330</v>
      </c>
      <c r="B24" s="1048">
        <f>(B17-B18)/(B21+B22)</f>
        <v>22500</v>
      </c>
      <c r="C24" s="1048"/>
      <c r="D24" s="1048"/>
      <c r="E24" s="1048"/>
    </row>
    <row r="25" spans="1:11" ht="30" customHeight="1" x14ac:dyDescent="0.25">
      <c r="A25" s="120" t="s">
        <v>305</v>
      </c>
      <c r="B25" s="1181">
        <f>B20/1000*K14+J17</f>
        <v>452.68200000000002</v>
      </c>
      <c r="C25" s="1181"/>
      <c r="D25" s="1181"/>
      <c r="E25" s="1181"/>
      <c r="F25" s="6">
        <v>0.26100000000000001</v>
      </c>
    </row>
    <row r="26" spans="1:11" ht="30" customHeight="1" x14ac:dyDescent="0.25">
      <c r="A26" s="121" t="s">
        <v>303</v>
      </c>
      <c r="B26" s="1019">
        <f>B25/'[6]Objectifs CO2'!C9</f>
        <v>2.1520640915647933</v>
      </c>
      <c r="C26" s="1019"/>
      <c r="D26" s="1019"/>
      <c r="E26" s="1019"/>
    </row>
    <row r="27" spans="1:11" ht="30" customHeight="1" x14ac:dyDescent="0.25">
      <c r="A27" s="101" t="s">
        <v>304</v>
      </c>
      <c r="B27" s="1045">
        <f>B25/'[6]Objectifs CO2'!C4</f>
        <v>0.43041281831295869</v>
      </c>
      <c r="C27" s="1045"/>
      <c r="D27" s="1045"/>
      <c r="E27" s="1045"/>
    </row>
    <row r="28" spans="1:11" ht="30" customHeight="1" x14ac:dyDescent="0.25">
      <c r="A28" s="101" t="s">
        <v>22</v>
      </c>
      <c r="B28" s="999"/>
      <c r="C28" s="999"/>
      <c r="D28" s="999"/>
      <c r="E28" s="999"/>
    </row>
    <row r="29" spans="1:11" ht="30" customHeight="1" x14ac:dyDescent="0.25">
      <c r="A29" s="122" t="s">
        <v>257</v>
      </c>
      <c r="B29" s="999"/>
      <c r="C29" s="999"/>
      <c r="D29" s="999"/>
      <c r="E29" s="999"/>
    </row>
    <row r="31" spans="1:11" x14ac:dyDescent="0.25">
      <c r="A31" s="603" t="s">
        <v>1065</v>
      </c>
      <c r="B31" s="1003" t="s">
        <v>675</v>
      </c>
      <c r="C31" s="1003"/>
      <c r="D31" s="1003"/>
      <c r="E31" s="594"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96"/>
      <c r="E43" s="94" t="s">
        <v>730</v>
      </c>
    </row>
    <row r="44" spans="1:12" x14ac:dyDescent="0.25">
      <c r="A44" s="596"/>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B5:E5"/>
    <mergeCell ref="B6:E6"/>
    <mergeCell ref="B7:E7"/>
    <mergeCell ref="B12:E12"/>
    <mergeCell ref="B17:E17"/>
    <mergeCell ref="B29:E29"/>
    <mergeCell ref="B18:E18"/>
    <mergeCell ref="B19:E19"/>
    <mergeCell ref="B20:E20"/>
    <mergeCell ref="B21:E21"/>
    <mergeCell ref="B22:E22"/>
    <mergeCell ref="B23:E23"/>
    <mergeCell ref="B24:E24"/>
    <mergeCell ref="B25:E25"/>
    <mergeCell ref="B26:E26"/>
    <mergeCell ref="B27:E27"/>
    <mergeCell ref="B28:E28"/>
    <mergeCell ref="B35:D35"/>
    <mergeCell ref="H35:I35"/>
    <mergeCell ref="B36:D36"/>
    <mergeCell ref="B13:E13"/>
    <mergeCell ref="B14:E14"/>
    <mergeCell ref="B15:E15"/>
    <mergeCell ref="B16:E16"/>
    <mergeCell ref="Z5:AB5"/>
    <mergeCell ref="Z6:AA6"/>
    <mergeCell ref="Z8:AA8"/>
    <mergeCell ref="Z9:AA9"/>
    <mergeCell ref="Z10:AA10"/>
    <mergeCell ref="Z16:AA16"/>
    <mergeCell ref="Z11:AA11"/>
    <mergeCell ref="Z12:AA12"/>
    <mergeCell ref="Z13:AA13"/>
    <mergeCell ref="Z14:AA14"/>
    <mergeCell ref="Z15:AA15"/>
    <mergeCell ref="B11:E11"/>
    <mergeCell ref="B8:E8"/>
    <mergeCell ref="B9:E9"/>
    <mergeCell ref="B10:E10"/>
    <mergeCell ref="G8:G10"/>
    <mergeCell ref="B42:D42"/>
    <mergeCell ref="B44:D44"/>
    <mergeCell ref="B37:D37"/>
    <mergeCell ref="B38:D38"/>
    <mergeCell ref="B39:D39"/>
    <mergeCell ref="B40:D40"/>
    <mergeCell ref="B41:D41"/>
    <mergeCell ref="G7:H7"/>
    <mergeCell ref="A1:E1"/>
    <mergeCell ref="B2:E2"/>
    <mergeCell ref="G2:H2"/>
    <mergeCell ref="B3:E3"/>
    <mergeCell ref="G3:H3"/>
    <mergeCell ref="G6:H6"/>
    <mergeCell ref="G4:H4"/>
    <mergeCell ref="G5:H5"/>
    <mergeCell ref="B31:D31"/>
    <mergeCell ref="B32:D32"/>
    <mergeCell ref="G32:I32"/>
    <mergeCell ref="B33:D33"/>
    <mergeCell ref="H33:I33"/>
    <mergeCell ref="G40:I40"/>
    <mergeCell ref="B34:D34"/>
    <mergeCell ref="H34:I34"/>
  </mergeCells>
  <conditionalFormatting sqref="B5">
    <cfRule type="containsText" dxfId="56" priority="1" operator="containsText" text="Terminé">
      <formula>NOT(ISERROR(SEARCH("Terminé",B5)))</formula>
    </cfRule>
    <cfRule type="containsText" dxfId="55" priority="2" operator="containsText" text="En cours">
      <formula>NOT(ISERROR(SEARCH("En cours",B5)))</formula>
    </cfRule>
    <cfRule type="containsText" dxfId="5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1" zoomScaleNormal="100"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785</v>
      </c>
      <c r="C2" s="1068"/>
      <c r="D2" s="1068"/>
      <c r="E2" s="1068"/>
      <c r="F2" s="7"/>
      <c r="G2" s="986" t="s">
        <v>751</v>
      </c>
      <c r="H2" s="986"/>
    </row>
    <row r="3" spans="1:28" ht="19.5" customHeight="1" x14ac:dyDescent="0.25">
      <c r="A3" s="409" t="s">
        <v>743</v>
      </c>
      <c r="B3" s="987" t="s">
        <v>486</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K5" s="9"/>
      <c r="L5" s="9"/>
      <c r="M5" s="9"/>
      <c r="N5" s="9"/>
      <c r="Z5" s="1023" t="s">
        <v>609</v>
      </c>
      <c r="AA5" s="1024"/>
      <c r="AB5" s="1025"/>
    </row>
    <row r="6" spans="1:28" ht="19.5" customHeight="1" x14ac:dyDescent="0.25">
      <c r="A6" s="413" t="s">
        <v>474</v>
      </c>
      <c r="B6" s="993" t="s">
        <v>414</v>
      </c>
      <c r="C6" s="993"/>
      <c r="D6" s="993"/>
      <c r="E6" s="993"/>
      <c r="F6" s="7"/>
      <c r="G6" s="986" t="s">
        <v>755</v>
      </c>
      <c r="H6" s="986"/>
      <c r="K6" s="9"/>
      <c r="L6" s="9"/>
      <c r="M6" s="9"/>
      <c r="N6" s="9"/>
      <c r="Z6" s="1026"/>
      <c r="AA6" s="1027"/>
      <c r="AB6" s="357" t="s">
        <v>610</v>
      </c>
    </row>
    <row r="7" spans="1:28" ht="19.5" customHeight="1" x14ac:dyDescent="0.25">
      <c r="A7" s="253" t="s">
        <v>475</v>
      </c>
      <c r="B7" s="994" t="s">
        <v>608</v>
      </c>
      <c r="C7" s="994"/>
      <c r="D7" s="994"/>
      <c r="E7" s="994"/>
      <c r="F7" s="7"/>
      <c r="G7" s="995" t="s">
        <v>756</v>
      </c>
      <c r="H7" s="995"/>
      <c r="I7" s="400"/>
      <c r="J7" s="400"/>
      <c r="K7" s="9"/>
      <c r="L7" s="9"/>
      <c r="M7" s="9"/>
      <c r="N7" s="9"/>
      <c r="Z7" s="401"/>
      <c r="AA7" s="402"/>
      <c r="AB7" s="357"/>
    </row>
    <row r="8" spans="1:28" ht="24" customHeight="1" x14ac:dyDescent="0.25">
      <c r="A8" s="193" t="s">
        <v>1</v>
      </c>
      <c r="B8" s="996" t="s">
        <v>486</v>
      </c>
      <c r="C8" s="996"/>
      <c r="D8" s="996"/>
      <c r="E8" s="996"/>
      <c r="G8" s="997" t="s">
        <v>936</v>
      </c>
      <c r="H8" s="9"/>
      <c r="I8" s="9"/>
      <c r="J8" s="9"/>
      <c r="K8" s="9"/>
      <c r="L8" s="9"/>
      <c r="N8" s="9"/>
      <c r="O8" s="9"/>
      <c r="Z8" s="1028" t="s">
        <v>611</v>
      </c>
      <c r="AA8" s="1029"/>
      <c r="AB8" s="357">
        <v>0.26819999999999999</v>
      </c>
    </row>
    <row r="9" spans="1:28" ht="24" customHeight="1" x14ac:dyDescent="0.25">
      <c r="A9" s="193" t="s">
        <v>0</v>
      </c>
      <c r="B9" s="996" t="s">
        <v>1093</v>
      </c>
      <c r="C9" s="996"/>
      <c r="D9" s="996"/>
      <c r="E9" s="996"/>
      <c r="G9" s="997"/>
      <c r="H9" s="9"/>
      <c r="I9" s="9"/>
      <c r="J9" s="9"/>
      <c r="K9" s="9"/>
      <c r="L9" s="9"/>
      <c r="N9" s="9"/>
      <c r="O9" s="9"/>
      <c r="Z9" s="1028" t="s">
        <v>612</v>
      </c>
      <c r="AA9" s="1029"/>
      <c r="AB9" s="357">
        <v>3.1300000000000001E-2</v>
      </c>
    </row>
    <row r="10" spans="1:28" ht="45" customHeight="1" x14ac:dyDescent="0.25">
      <c r="A10" s="102" t="s">
        <v>2</v>
      </c>
      <c r="B10" s="1008" t="s">
        <v>487</v>
      </c>
      <c r="C10" s="1008"/>
      <c r="D10" s="1008"/>
      <c r="E10" s="1008"/>
      <c r="G10" s="997"/>
      <c r="H10" s="9"/>
      <c r="I10" s="9"/>
      <c r="J10" s="9"/>
      <c r="K10" s="9"/>
      <c r="L10" s="9"/>
      <c r="M10" s="7"/>
      <c r="Z10" s="1028"/>
      <c r="AA10" s="1029"/>
      <c r="AB10" s="357"/>
    </row>
    <row r="11" spans="1:28" ht="57" customHeight="1" x14ac:dyDescent="0.25">
      <c r="A11" s="102" t="s">
        <v>29</v>
      </c>
      <c r="B11" s="1059" t="s">
        <v>897</v>
      </c>
      <c r="C11" s="1060"/>
      <c r="D11" s="1060"/>
      <c r="E11" s="1061"/>
      <c r="G11" s="253">
        <v>718209</v>
      </c>
      <c r="H11" s="131" t="s">
        <v>532</v>
      </c>
      <c r="I11" s="9"/>
      <c r="J11" s="9"/>
      <c r="K11" s="9"/>
      <c r="L11" s="9"/>
      <c r="Z11" s="1028" t="s">
        <v>613</v>
      </c>
      <c r="AA11" s="1029"/>
      <c r="AB11" s="357">
        <v>0.26819999999999999</v>
      </c>
    </row>
    <row r="12" spans="1:28" ht="30" customHeight="1" x14ac:dyDescent="0.25">
      <c r="A12" s="102" t="s">
        <v>14</v>
      </c>
      <c r="B12" s="1010" t="s">
        <v>939</v>
      </c>
      <c r="C12" s="1010"/>
      <c r="D12" s="1010"/>
      <c r="E12" s="1010"/>
      <c r="G12" s="252" t="s">
        <v>196</v>
      </c>
      <c r="H12" s="226" t="s">
        <v>120</v>
      </c>
      <c r="I12" s="226" t="s">
        <v>119</v>
      </c>
      <c r="J12" s="9"/>
      <c r="K12" s="9"/>
      <c r="L12" s="9"/>
      <c r="M12" s="9"/>
      <c r="N12" s="9"/>
      <c r="Z12" s="1028" t="s">
        <v>614</v>
      </c>
      <c r="AA12" s="1029"/>
      <c r="AB12" s="357">
        <v>1.18E-2</v>
      </c>
    </row>
    <row r="13" spans="1:28" ht="30" customHeight="1" x14ac:dyDescent="0.25">
      <c r="A13" s="102" t="s">
        <v>3</v>
      </c>
      <c r="B13" s="1011" t="s">
        <v>943</v>
      </c>
      <c r="C13" s="1011"/>
      <c r="D13" s="1011"/>
      <c r="E13" s="1011"/>
      <c r="G13" s="252">
        <v>0.6</v>
      </c>
      <c r="H13" s="226">
        <v>0.09</v>
      </c>
      <c r="I13" s="226">
        <f>AB15</f>
        <v>0.27700000000000002</v>
      </c>
      <c r="J13" s="9"/>
      <c r="K13" s="9"/>
      <c r="L13" s="9"/>
      <c r="M13" s="9"/>
      <c r="N13" s="9"/>
      <c r="Z13" s="1028" t="s">
        <v>615</v>
      </c>
      <c r="AA13" s="1029"/>
      <c r="AB13" s="358">
        <f>AB15/0.55</f>
        <v>0.50363636363636366</v>
      </c>
    </row>
    <row r="14" spans="1:28" ht="30" customHeight="1" x14ac:dyDescent="0.25">
      <c r="A14" s="102" t="s">
        <v>15</v>
      </c>
      <c r="B14" s="1010" t="s">
        <v>503</v>
      </c>
      <c r="C14" s="1010"/>
      <c r="D14" s="1010"/>
      <c r="E14" s="1010"/>
      <c r="G14" s="9"/>
      <c r="H14" s="67"/>
      <c r="I14" s="9"/>
      <c r="J14" s="9"/>
      <c r="K14" s="9"/>
      <c r="L14" s="9"/>
      <c r="M14" s="9"/>
      <c r="N14" s="9"/>
      <c r="Z14" s="1028" t="s">
        <v>616</v>
      </c>
      <c r="AA14" s="1029"/>
      <c r="AB14" s="357">
        <v>0.26819999999999999</v>
      </c>
    </row>
    <row r="15" spans="1:28" ht="30" customHeight="1" x14ac:dyDescent="0.25">
      <c r="A15" s="102" t="s">
        <v>4</v>
      </c>
      <c r="B15" s="1010">
        <v>2015</v>
      </c>
      <c r="C15" s="1010"/>
      <c r="D15" s="1010"/>
      <c r="E15" s="1010"/>
      <c r="G15" s="9"/>
      <c r="H15" s="67"/>
      <c r="I15" s="9"/>
      <c r="J15" s="9"/>
      <c r="K15" s="9"/>
      <c r="L15" s="9"/>
      <c r="M15" s="9"/>
      <c r="N15" s="9"/>
      <c r="Z15" s="1028" t="s">
        <v>578</v>
      </c>
      <c r="AA15" s="1029"/>
      <c r="AB15" s="357">
        <v>0.27700000000000002</v>
      </c>
    </row>
    <row r="16" spans="1:28" ht="30" customHeight="1" x14ac:dyDescent="0.25">
      <c r="A16" s="102" t="s">
        <v>5</v>
      </c>
      <c r="B16" s="1010">
        <v>2025</v>
      </c>
      <c r="C16" s="1010"/>
      <c r="D16" s="1010"/>
      <c r="E16" s="1010"/>
      <c r="G16" s="9"/>
      <c r="H16" s="67"/>
      <c r="I16" s="9"/>
      <c r="J16" s="9"/>
      <c r="K16" s="9"/>
      <c r="L16" s="9"/>
      <c r="M16" s="9"/>
      <c r="N16" s="9"/>
      <c r="Z16" s="1028" t="s">
        <v>579</v>
      </c>
      <c r="AA16" s="1029"/>
      <c r="AB16" s="357">
        <v>0.20269999999999999</v>
      </c>
    </row>
    <row r="17" spans="1:14" ht="30" customHeight="1" x14ac:dyDescent="0.25">
      <c r="A17" s="102" t="s">
        <v>6</v>
      </c>
      <c r="B17" s="1012">
        <v>55000</v>
      </c>
      <c r="C17" s="1012"/>
      <c r="D17" s="1012"/>
      <c r="E17" s="1012"/>
      <c r="G17" s="9"/>
      <c r="H17" s="67"/>
      <c r="I17" s="9"/>
      <c r="J17" s="9"/>
      <c r="K17" s="9"/>
      <c r="L17" s="9"/>
      <c r="M17" s="9"/>
      <c r="N17" s="9"/>
    </row>
    <row r="18" spans="1:14" ht="30" customHeight="1" x14ac:dyDescent="0.25">
      <c r="A18" s="102" t="s">
        <v>7</v>
      </c>
      <c r="B18" s="1012">
        <v>0</v>
      </c>
      <c r="C18" s="1012"/>
      <c r="D18" s="1012"/>
      <c r="E18" s="1012"/>
      <c r="G18" s="9"/>
      <c r="H18" s="67"/>
      <c r="K18" s="9"/>
      <c r="L18" s="9"/>
      <c r="M18" s="9"/>
      <c r="N18" s="9"/>
    </row>
    <row r="19" spans="1:14" ht="30" customHeight="1" x14ac:dyDescent="0.25">
      <c r="A19" s="99" t="s">
        <v>307</v>
      </c>
      <c r="B19" s="1039">
        <f>SUM(G11:L11)*G13</f>
        <v>430925.39999999997</v>
      </c>
      <c r="C19" s="1040"/>
      <c r="D19" s="1040"/>
      <c r="E19" s="1040"/>
      <c r="G19" s="9"/>
      <c r="H19" s="67"/>
      <c r="K19" s="9"/>
      <c r="L19" s="9"/>
      <c r="M19" s="9"/>
      <c r="N19" s="9"/>
    </row>
    <row r="20" spans="1:14" ht="30" customHeight="1" x14ac:dyDescent="0.25">
      <c r="A20" s="96" t="s">
        <v>306</v>
      </c>
      <c r="B20" s="1041"/>
      <c r="C20" s="1042"/>
      <c r="D20" s="1042"/>
      <c r="E20" s="1042"/>
      <c r="G20" s="9"/>
      <c r="H20" s="67"/>
      <c r="I20" s="9"/>
      <c r="J20" s="9"/>
      <c r="K20" s="9"/>
      <c r="L20" s="9"/>
      <c r="M20" s="9"/>
      <c r="N20" s="9"/>
    </row>
    <row r="21" spans="1:14" ht="30" customHeight="1" x14ac:dyDescent="0.25">
      <c r="A21" s="102" t="s">
        <v>8</v>
      </c>
      <c r="B21" s="1000">
        <f>B19*H13</f>
        <v>38783.285999999993</v>
      </c>
      <c r="C21" s="1000"/>
      <c r="D21" s="1000"/>
      <c r="E21" s="1000"/>
      <c r="G21" s="9"/>
      <c r="H21" s="67"/>
      <c r="I21" s="9"/>
      <c r="J21" s="9"/>
      <c r="K21" s="9"/>
      <c r="L21" s="9"/>
      <c r="M21" s="9"/>
      <c r="N21" s="9"/>
    </row>
    <row r="22" spans="1:14" ht="30" customHeight="1" x14ac:dyDescent="0.25">
      <c r="A22" s="102" t="s">
        <v>9</v>
      </c>
      <c r="B22" s="1000"/>
      <c r="C22" s="1000"/>
      <c r="D22" s="1000"/>
      <c r="E22" s="1000"/>
      <c r="G22" s="9"/>
      <c r="H22" s="67"/>
      <c r="I22" s="9"/>
      <c r="J22" s="9"/>
      <c r="K22" s="9"/>
      <c r="L22" s="9"/>
      <c r="M22" s="9"/>
      <c r="N22" s="9"/>
    </row>
    <row r="23" spans="1:14" ht="30" customHeight="1" x14ac:dyDescent="0.25">
      <c r="A23" s="102" t="s">
        <v>301</v>
      </c>
      <c r="B23" s="1016">
        <f>B17/(B21+B22)</f>
        <v>1.4181366684607388</v>
      </c>
      <c r="C23" s="1016"/>
      <c r="D23" s="1016"/>
      <c r="E23" s="1016"/>
      <c r="G23" s="9"/>
      <c r="H23" s="67"/>
      <c r="I23" s="9"/>
      <c r="J23" s="9"/>
      <c r="K23" s="9"/>
      <c r="L23" s="9"/>
      <c r="M23" s="9"/>
      <c r="N23" s="9"/>
    </row>
    <row r="24" spans="1:14" ht="30" customHeight="1" x14ac:dyDescent="0.25">
      <c r="A24" s="102" t="s">
        <v>302</v>
      </c>
      <c r="B24" s="1017">
        <f>(B17-B18)/(B21+B22)</f>
        <v>1.4181366684607388</v>
      </c>
      <c r="C24" s="1017"/>
      <c r="D24" s="1017"/>
      <c r="E24" s="1017"/>
      <c r="G24" s="9"/>
      <c r="H24" s="67"/>
      <c r="I24" s="9"/>
      <c r="J24" s="9"/>
      <c r="K24" s="9"/>
      <c r="L24" s="9"/>
      <c r="M24" s="9"/>
      <c r="N24" s="9"/>
    </row>
    <row r="25" spans="1:14" ht="30" customHeight="1" x14ac:dyDescent="0.25">
      <c r="A25" s="103" t="s">
        <v>305</v>
      </c>
      <c r="B25" s="1036">
        <f>B19/1000*I13</f>
        <v>119.3663358</v>
      </c>
      <c r="C25" s="1036"/>
      <c r="D25" s="1036"/>
      <c r="E25" s="1036"/>
      <c r="G25" s="9"/>
      <c r="H25" s="9"/>
      <c r="I25" s="9"/>
      <c r="J25" s="9"/>
      <c r="K25" s="9"/>
      <c r="L25" s="9"/>
      <c r="M25" s="9"/>
      <c r="N25" s="9"/>
    </row>
    <row r="26" spans="1:14" ht="30" customHeight="1" x14ac:dyDescent="0.25">
      <c r="A26" s="104" t="s">
        <v>303</v>
      </c>
      <c r="B26" s="1058">
        <f>B25/'Objectifs CO2'!C8</f>
        <v>1.1010781812941956E-2</v>
      </c>
      <c r="C26" s="1058"/>
      <c r="D26" s="1058"/>
      <c r="E26" s="1058"/>
      <c r="G26" s="9"/>
      <c r="H26" s="9"/>
      <c r="I26" s="9"/>
      <c r="J26" s="9"/>
      <c r="K26" s="9"/>
      <c r="L26" s="9"/>
      <c r="M26" s="9"/>
      <c r="N26" s="9"/>
    </row>
    <row r="27" spans="1:14" ht="30" customHeight="1" x14ac:dyDescent="0.25">
      <c r="A27" s="104" t="s">
        <v>304</v>
      </c>
      <c r="B27" s="1056">
        <f>B25/'Objectifs CO2'!C4</f>
        <v>5.5053909064709779E-3</v>
      </c>
      <c r="C27" s="1057"/>
      <c r="D27" s="1057"/>
      <c r="E27" s="1057"/>
      <c r="G27" s="9"/>
      <c r="H27" s="9"/>
      <c r="I27" s="9"/>
      <c r="J27" s="9"/>
      <c r="K27" s="9"/>
      <c r="L27" s="9"/>
      <c r="M27" s="9"/>
      <c r="N27" s="9"/>
    </row>
    <row r="28" spans="1:14" ht="30" customHeight="1" x14ac:dyDescent="0.25">
      <c r="A28" s="104" t="s">
        <v>22</v>
      </c>
      <c r="B28" s="999"/>
      <c r="C28" s="999"/>
      <c r="D28" s="999"/>
      <c r="E28" s="999"/>
      <c r="G28" s="9"/>
      <c r="H28" s="9"/>
      <c r="I28" s="9"/>
      <c r="J28" s="9"/>
      <c r="K28" s="9"/>
      <c r="L28" s="9"/>
      <c r="M28" s="9"/>
      <c r="N28" s="9"/>
    </row>
    <row r="29" spans="1:14" ht="30" customHeight="1" x14ac:dyDescent="0.25">
      <c r="A29" s="101" t="s">
        <v>257</v>
      </c>
      <c r="B29" s="999"/>
      <c r="C29" s="999"/>
      <c r="D29" s="999"/>
      <c r="E29" s="999"/>
      <c r="F29" s="6" t="s">
        <v>264</v>
      </c>
    </row>
    <row r="31" spans="1:14" x14ac:dyDescent="0.25">
      <c r="A31" s="603" t="s">
        <v>1065</v>
      </c>
      <c r="B31" s="1003" t="s">
        <v>675</v>
      </c>
      <c r="C31" s="1003"/>
      <c r="D31" s="1003"/>
      <c r="E31" s="56" t="s">
        <v>676</v>
      </c>
    </row>
    <row r="32" spans="1:14"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B10:E10"/>
    <mergeCell ref="B4:E4"/>
    <mergeCell ref="B5:E5"/>
    <mergeCell ref="B6:E6"/>
    <mergeCell ref="B7:E7"/>
    <mergeCell ref="G7:H7"/>
    <mergeCell ref="G6:H6"/>
    <mergeCell ref="G8:G10"/>
    <mergeCell ref="G46:L46"/>
    <mergeCell ref="B42:D42"/>
    <mergeCell ref="B44:D44"/>
    <mergeCell ref="B37:D37"/>
    <mergeCell ref="B38:D38"/>
    <mergeCell ref="B39:D39"/>
    <mergeCell ref="B40:D40"/>
    <mergeCell ref="B41:D41"/>
    <mergeCell ref="Z5:AB5"/>
    <mergeCell ref="Z6:AA6"/>
    <mergeCell ref="Z8:AA8"/>
    <mergeCell ref="Z9:AA9"/>
    <mergeCell ref="Z10:AA10"/>
    <mergeCell ref="Z11:AA11"/>
    <mergeCell ref="Z12:AA12"/>
    <mergeCell ref="Z13:AA13"/>
    <mergeCell ref="Z14:AA14"/>
    <mergeCell ref="Z15:AA15"/>
    <mergeCell ref="G32:I32"/>
    <mergeCell ref="H33:I33"/>
    <mergeCell ref="Z16:AA16"/>
    <mergeCell ref="B20:E20"/>
    <mergeCell ref="B23:E23"/>
    <mergeCell ref="B33:D33"/>
    <mergeCell ref="B25:E25"/>
    <mergeCell ref="B29:E29"/>
    <mergeCell ref="B26:E26"/>
    <mergeCell ref="B27:E27"/>
    <mergeCell ref="B28:E28"/>
    <mergeCell ref="B31:D31"/>
    <mergeCell ref="B32:D32"/>
    <mergeCell ref="B24:E24"/>
    <mergeCell ref="B18:E18"/>
    <mergeCell ref="B19:E19"/>
    <mergeCell ref="A1:E1"/>
    <mergeCell ref="B2:E2"/>
    <mergeCell ref="G2:H2"/>
    <mergeCell ref="B3:E3"/>
    <mergeCell ref="G3:H3"/>
    <mergeCell ref="G40:I40"/>
    <mergeCell ref="B34:D34"/>
    <mergeCell ref="H34:I34"/>
    <mergeCell ref="B35:D35"/>
    <mergeCell ref="H35:I35"/>
    <mergeCell ref="B36:D36"/>
    <mergeCell ref="B11:E11"/>
    <mergeCell ref="B12:E12"/>
    <mergeCell ref="B13:E13"/>
    <mergeCell ref="B14:E14"/>
    <mergeCell ref="B15:E15"/>
    <mergeCell ref="B16:E16"/>
    <mergeCell ref="B17:E17"/>
    <mergeCell ref="B21:E21"/>
    <mergeCell ref="B22:E22"/>
    <mergeCell ref="B8:E8"/>
    <mergeCell ref="G4:H4"/>
    <mergeCell ref="G5:H5"/>
    <mergeCell ref="B9:E9"/>
  </mergeCells>
  <conditionalFormatting sqref="B5">
    <cfRule type="containsText" dxfId="53" priority="1" operator="containsText" text="Terminé">
      <formula>NOT(ISERROR(SEARCH("Terminé",B5)))</formula>
    </cfRule>
    <cfRule type="containsText" dxfId="52" priority="2" operator="containsText" text="En cours">
      <formula>NOT(ISERROR(SEARCH("En cours",B5)))</formula>
    </cfRule>
    <cfRule type="containsText" dxfId="5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54"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9"/>
  <sheetViews>
    <sheetView topLeftCell="B1" zoomScale="145" zoomScaleNormal="145" workbookViewId="0">
      <selection activeCell="B5" sqref="B5:E5"/>
    </sheetView>
  </sheetViews>
  <sheetFormatPr baseColWidth="10" defaultColWidth="11.42578125" defaultRowHeight="15" x14ac:dyDescent="0.25"/>
  <cols>
    <col min="1" max="1" width="40.7109375" style="7" customWidth="1"/>
    <col min="2" max="2" width="16.7109375" style="7" customWidth="1"/>
    <col min="3" max="3" width="18.7109375" style="7" customWidth="1"/>
    <col min="4" max="4" width="5.7109375" style="7" customWidth="1"/>
    <col min="5" max="5" width="18.7109375" style="7" customWidth="1"/>
    <col min="6" max="6" width="1.5703125" style="7" customWidth="1"/>
    <col min="7" max="16384" width="11.42578125" style="7"/>
  </cols>
  <sheetData>
    <row r="1" spans="1:10" ht="26.25" x14ac:dyDescent="0.4">
      <c r="A1" s="1001" t="s">
        <v>937</v>
      </c>
      <c r="B1" s="1001"/>
      <c r="C1" s="1001"/>
      <c r="D1" s="1001"/>
      <c r="E1" s="1001"/>
      <c r="F1" s="276"/>
    </row>
    <row r="2" spans="1:10" ht="19.5" customHeight="1" x14ac:dyDescent="0.25">
      <c r="A2" s="412" t="s">
        <v>750</v>
      </c>
      <c r="B2" s="1002" t="s">
        <v>122</v>
      </c>
      <c r="C2" s="1002"/>
      <c r="D2" s="1002"/>
      <c r="E2" s="1002"/>
      <c r="G2" s="986" t="s">
        <v>751</v>
      </c>
      <c r="H2" s="986"/>
    </row>
    <row r="3" spans="1:10" ht="19.5" customHeight="1" x14ac:dyDescent="0.25">
      <c r="A3" s="409" t="s">
        <v>743</v>
      </c>
      <c r="B3" s="987" t="s">
        <v>744</v>
      </c>
      <c r="C3" s="987"/>
      <c r="D3" s="987"/>
      <c r="E3" s="987"/>
      <c r="G3" s="986" t="s">
        <v>752</v>
      </c>
      <c r="H3" s="986"/>
    </row>
    <row r="4" spans="1:10" ht="19.5" customHeight="1" x14ac:dyDescent="0.25">
      <c r="A4" s="403" t="s">
        <v>292</v>
      </c>
      <c r="B4" s="996" t="s">
        <v>380</v>
      </c>
      <c r="C4" s="996"/>
      <c r="D4" s="996"/>
      <c r="E4" s="996"/>
      <c r="G4" s="986" t="s">
        <v>753</v>
      </c>
      <c r="H4" s="986"/>
    </row>
    <row r="5" spans="1:10" ht="19.5" customHeight="1" x14ac:dyDescent="0.25">
      <c r="A5" s="403" t="s">
        <v>16</v>
      </c>
      <c r="B5" s="1015" t="s">
        <v>17</v>
      </c>
      <c r="C5" s="1015"/>
      <c r="D5" s="1015"/>
      <c r="E5" s="1015"/>
      <c r="G5" s="986" t="s">
        <v>754</v>
      </c>
      <c r="H5" s="986"/>
    </row>
    <row r="6" spans="1:10" ht="19.5" customHeight="1" x14ac:dyDescent="0.25">
      <c r="A6" s="413" t="s">
        <v>474</v>
      </c>
      <c r="B6" s="993" t="s">
        <v>45</v>
      </c>
      <c r="C6" s="993"/>
      <c r="D6" s="993"/>
      <c r="E6" s="993"/>
      <c r="G6" s="986" t="s">
        <v>755</v>
      </c>
      <c r="H6" s="986"/>
    </row>
    <row r="7" spans="1:10" ht="19.5" customHeight="1" x14ac:dyDescent="0.25">
      <c r="A7" s="253" t="s">
        <v>475</v>
      </c>
      <c r="B7" s="994" t="s">
        <v>608</v>
      </c>
      <c r="C7" s="994"/>
      <c r="D7" s="994"/>
      <c r="E7" s="994"/>
      <c r="G7" s="995" t="s">
        <v>756</v>
      </c>
      <c r="H7" s="995"/>
      <c r="I7" s="400"/>
      <c r="J7" s="400"/>
    </row>
    <row r="8" spans="1:10" ht="24" customHeight="1" x14ac:dyDescent="0.25">
      <c r="A8" s="105" t="s">
        <v>1</v>
      </c>
      <c r="B8" s="967" t="s">
        <v>428</v>
      </c>
      <c r="C8" s="967"/>
      <c r="D8" s="967"/>
      <c r="E8" s="967"/>
      <c r="G8" s="997" t="s">
        <v>936</v>
      </c>
    </row>
    <row r="9" spans="1:10" ht="24" customHeight="1" x14ac:dyDescent="0.25">
      <c r="A9" s="105" t="s">
        <v>0</v>
      </c>
      <c r="B9" s="967" t="s">
        <v>429</v>
      </c>
      <c r="C9" s="967"/>
      <c r="D9" s="967"/>
      <c r="E9" s="967"/>
      <c r="G9" s="997"/>
    </row>
    <row r="10" spans="1:10" ht="36" customHeight="1" x14ac:dyDescent="0.25">
      <c r="A10" s="105" t="s">
        <v>2</v>
      </c>
      <c r="B10" s="998" t="s">
        <v>964</v>
      </c>
      <c r="C10" s="998"/>
      <c r="D10" s="998"/>
      <c r="E10" s="998"/>
      <c r="G10" s="997"/>
    </row>
    <row r="11" spans="1:10" ht="31.5" customHeight="1" x14ac:dyDescent="0.25">
      <c r="A11" s="105" t="s">
        <v>29</v>
      </c>
      <c r="B11" s="1008"/>
      <c r="C11" s="1009"/>
      <c r="D11" s="1009"/>
      <c r="E11" s="1009"/>
      <c r="G11" s="254">
        <v>5000</v>
      </c>
      <c r="H11" s="139" t="s">
        <v>25</v>
      </c>
    </row>
    <row r="12" spans="1:10" ht="30" customHeight="1" x14ac:dyDescent="0.25">
      <c r="A12" s="105" t="s">
        <v>14</v>
      </c>
      <c r="B12" s="1010" t="s">
        <v>939</v>
      </c>
      <c r="C12" s="1010"/>
      <c r="D12" s="1010"/>
      <c r="E12" s="1010"/>
      <c r="G12" s="225"/>
      <c r="H12" s="139" t="s">
        <v>7</v>
      </c>
    </row>
    <row r="13" spans="1:10" ht="30" customHeight="1" x14ac:dyDescent="0.25">
      <c r="A13" s="105" t="s">
        <v>3</v>
      </c>
      <c r="B13" s="1011" t="s">
        <v>943</v>
      </c>
      <c r="C13" s="1011"/>
      <c r="D13" s="1011"/>
      <c r="E13" s="1011"/>
    </row>
    <row r="14" spans="1:10" ht="30" customHeight="1" x14ac:dyDescent="0.25">
      <c r="A14" s="105" t="s">
        <v>15</v>
      </c>
      <c r="B14" s="1011"/>
      <c r="C14" s="1011"/>
      <c r="D14" s="1011"/>
      <c r="E14" s="1011"/>
    </row>
    <row r="15" spans="1:10" ht="30" customHeight="1" x14ac:dyDescent="0.25">
      <c r="A15" s="105" t="s">
        <v>4</v>
      </c>
      <c r="B15" s="1011">
        <v>2020</v>
      </c>
      <c r="C15" s="1011"/>
      <c r="D15" s="1011"/>
      <c r="E15" s="1011"/>
    </row>
    <row r="16" spans="1:10" ht="30" customHeight="1" x14ac:dyDescent="0.25">
      <c r="A16" s="105" t="s">
        <v>5</v>
      </c>
      <c r="B16" s="1011">
        <v>2025</v>
      </c>
      <c r="C16" s="1011"/>
      <c r="D16" s="1011"/>
      <c r="E16" s="1011"/>
    </row>
    <row r="17" spans="1:9" ht="30" customHeight="1" x14ac:dyDescent="0.25">
      <c r="A17" s="105" t="s">
        <v>6</v>
      </c>
      <c r="B17" s="1012">
        <f>G11</f>
        <v>5000</v>
      </c>
      <c r="C17" s="1012"/>
      <c r="D17" s="1012"/>
      <c r="E17" s="1012"/>
    </row>
    <row r="18" spans="1:9" ht="30" customHeight="1" x14ac:dyDescent="0.25">
      <c r="A18" s="105" t="s">
        <v>7</v>
      </c>
      <c r="B18" s="1012">
        <f>SUM(G12:L12)</f>
        <v>0</v>
      </c>
      <c r="C18" s="1012"/>
      <c r="D18" s="1012"/>
      <c r="E18" s="1012"/>
    </row>
    <row r="19" spans="1:9" ht="30" customHeight="1" x14ac:dyDescent="0.25">
      <c r="A19" s="106" t="s">
        <v>307</v>
      </c>
      <c r="B19" s="1013">
        <v>0</v>
      </c>
      <c r="C19" s="1014"/>
      <c r="D19" s="1014"/>
      <c r="E19" s="1014"/>
      <c r="G19" s="8"/>
      <c r="H19" s="8"/>
    </row>
    <row r="20" spans="1:9" ht="30" customHeight="1" x14ac:dyDescent="0.25">
      <c r="A20" s="97" t="s">
        <v>306</v>
      </c>
      <c r="B20" s="1006"/>
      <c r="C20" s="1007"/>
      <c r="D20" s="1007"/>
      <c r="E20" s="1007"/>
    </row>
    <row r="21" spans="1:9" ht="30" customHeight="1" x14ac:dyDescent="0.25">
      <c r="A21" s="174" t="s">
        <v>8</v>
      </c>
      <c r="B21" s="1000">
        <v>1</v>
      </c>
      <c r="C21" s="1000"/>
      <c r="D21" s="1000"/>
      <c r="E21" s="1000"/>
    </row>
    <row r="22" spans="1:9" ht="30" customHeight="1" x14ac:dyDescent="0.25">
      <c r="A22" s="174" t="s">
        <v>9</v>
      </c>
      <c r="B22" s="1000"/>
      <c r="C22" s="1000"/>
      <c r="D22" s="1000"/>
      <c r="E22" s="1000"/>
    </row>
    <row r="23" spans="1:9" ht="30" customHeight="1" x14ac:dyDescent="0.25">
      <c r="A23" s="174" t="s">
        <v>301</v>
      </c>
      <c r="B23" s="1016">
        <f>B17/(B21+B22)</f>
        <v>5000</v>
      </c>
      <c r="C23" s="1016"/>
      <c r="D23" s="1016"/>
      <c r="E23" s="1016"/>
    </row>
    <row r="24" spans="1:9" ht="30" customHeight="1" x14ac:dyDescent="0.25">
      <c r="A24" s="174" t="s">
        <v>302</v>
      </c>
      <c r="B24" s="1017">
        <f>(B17-B18)/(B21+B22)</f>
        <v>5000</v>
      </c>
      <c r="C24" s="1017"/>
      <c r="D24" s="1017"/>
      <c r="E24" s="1017"/>
    </row>
    <row r="25" spans="1:9" ht="30" customHeight="1" x14ac:dyDescent="0.25">
      <c r="A25" s="100" t="s">
        <v>305</v>
      </c>
      <c r="B25" s="1018">
        <f>B19*F25/1000</f>
        <v>0</v>
      </c>
      <c r="C25" s="1018"/>
      <c r="D25" s="1018"/>
      <c r="E25" s="1018"/>
    </row>
    <row r="26" spans="1:9" ht="30" customHeight="1" x14ac:dyDescent="0.25">
      <c r="A26" s="101" t="s">
        <v>303</v>
      </c>
      <c r="B26" s="1019">
        <f>B25/'Objectifs CO2'!C11</f>
        <v>0</v>
      </c>
      <c r="C26" s="1019"/>
      <c r="D26" s="1019"/>
      <c r="E26" s="1019"/>
    </row>
    <row r="27" spans="1:9" ht="30" customHeight="1" x14ac:dyDescent="0.25">
      <c r="A27" s="101" t="s">
        <v>304</v>
      </c>
      <c r="B27" s="1020">
        <f>B25/'Objectifs CO2'!C4</f>
        <v>0</v>
      </c>
      <c r="C27" s="1021"/>
      <c r="D27" s="1021"/>
      <c r="E27" s="1021"/>
    </row>
    <row r="28" spans="1:9" ht="30" customHeight="1" x14ac:dyDescent="0.25">
      <c r="A28" s="101" t="s">
        <v>22</v>
      </c>
      <c r="B28" s="999"/>
      <c r="C28" s="999"/>
      <c r="D28" s="999"/>
      <c r="E28" s="999"/>
    </row>
    <row r="29" spans="1:9" ht="30" customHeight="1" x14ac:dyDescent="0.25">
      <c r="A29" s="101" t="s">
        <v>257</v>
      </c>
      <c r="B29" s="999"/>
      <c r="C29" s="999"/>
      <c r="D29" s="999"/>
      <c r="E29" s="999"/>
    </row>
    <row r="31" spans="1:9" x14ac:dyDescent="0.25">
      <c r="A31" s="603" t="s">
        <v>1065</v>
      </c>
      <c r="B31" s="1003" t="s">
        <v>675</v>
      </c>
      <c r="C31" s="1003"/>
      <c r="D31" s="1003"/>
      <c r="E31" s="56" t="s">
        <v>676</v>
      </c>
      <c r="F31" s="6"/>
      <c r="G31" s="6"/>
      <c r="H31" s="6"/>
      <c r="I31" s="6"/>
    </row>
    <row r="32" spans="1:9" x14ac:dyDescent="0.25">
      <c r="A32" s="377"/>
      <c r="B32" s="992" t="s">
        <v>677</v>
      </c>
      <c r="C32" s="992"/>
      <c r="D32" s="992"/>
      <c r="E32" s="374">
        <v>3</v>
      </c>
      <c r="F32" s="6"/>
      <c r="G32" s="1004" t="s">
        <v>676</v>
      </c>
      <c r="H32" s="1004"/>
      <c r="I32" s="1004"/>
    </row>
    <row r="33" spans="1:12" x14ac:dyDescent="0.25">
      <c r="A33" s="377"/>
      <c r="B33" s="992" t="s">
        <v>678</v>
      </c>
      <c r="C33" s="992"/>
      <c r="D33" s="992"/>
      <c r="E33" s="374">
        <v>3</v>
      </c>
      <c r="F33" s="6"/>
      <c r="G33" s="375">
        <v>3</v>
      </c>
      <c r="H33" s="1004" t="s">
        <v>679</v>
      </c>
      <c r="I33" s="1004"/>
    </row>
    <row r="34" spans="1:12" x14ac:dyDescent="0.25">
      <c r="A34" s="377"/>
      <c r="B34" s="992" t="s">
        <v>680</v>
      </c>
      <c r="C34" s="992"/>
      <c r="D34" s="992"/>
      <c r="E34" s="374">
        <v>1</v>
      </c>
      <c r="F34" s="6"/>
      <c r="G34" s="375">
        <v>2</v>
      </c>
      <c r="H34" s="1004" t="s">
        <v>681</v>
      </c>
      <c r="I34" s="1004"/>
    </row>
    <row r="35" spans="1:12" x14ac:dyDescent="0.25">
      <c r="A35" s="377"/>
      <c r="B35" s="992" t="s">
        <v>682</v>
      </c>
      <c r="C35" s="992"/>
      <c r="D35" s="992"/>
      <c r="E35" s="374">
        <v>2</v>
      </c>
      <c r="F35" s="6"/>
      <c r="G35" s="375">
        <v>1</v>
      </c>
      <c r="H35" s="1004" t="s">
        <v>683</v>
      </c>
      <c r="I35" s="1004"/>
    </row>
    <row r="36" spans="1:12" x14ac:dyDescent="0.25">
      <c r="A36" s="377"/>
      <c r="B36" s="992" t="s">
        <v>684</v>
      </c>
      <c r="C36" s="992"/>
      <c r="D36" s="992"/>
      <c r="E36" s="374">
        <v>2</v>
      </c>
      <c r="F36" s="6"/>
      <c r="G36" s="6"/>
      <c r="H36" s="6"/>
      <c r="I36" s="6"/>
    </row>
    <row r="37" spans="1:12" x14ac:dyDescent="0.25">
      <c r="A37" s="377"/>
      <c r="B37" s="992" t="s">
        <v>685</v>
      </c>
      <c r="C37" s="992"/>
      <c r="D37" s="992"/>
      <c r="E37" s="374">
        <v>3</v>
      </c>
      <c r="F37" s="6"/>
      <c r="G37" s="6"/>
      <c r="H37" s="6"/>
      <c r="I37" s="6"/>
    </row>
    <row r="38" spans="1:12" x14ac:dyDescent="0.25">
      <c r="A38" s="377"/>
      <c r="B38" s="992" t="s">
        <v>686</v>
      </c>
      <c r="C38" s="992"/>
      <c r="D38" s="992"/>
      <c r="E38" s="374">
        <v>1</v>
      </c>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15</v>
      </c>
      <c r="F42" s="6"/>
      <c r="G42" s="377" t="s">
        <v>693</v>
      </c>
      <c r="H42" s="377" t="s">
        <v>694</v>
      </c>
      <c r="I42" s="377" t="s">
        <v>695</v>
      </c>
    </row>
    <row r="43" spans="1:12" x14ac:dyDescent="0.25">
      <c r="B43" s="6"/>
      <c r="C43" s="6"/>
      <c r="D43" s="6"/>
      <c r="E43" s="94" t="s">
        <v>730</v>
      </c>
      <c r="F43" s="6"/>
      <c r="G43" s="6"/>
      <c r="H43" s="6"/>
      <c r="I43" s="6"/>
    </row>
    <row r="44" spans="1:12" x14ac:dyDescent="0.25">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t="s">
        <v>971</v>
      </c>
      <c r="C52" s="1022"/>
      <c r="D52" s="1022"/>
      <c r="E52" s="1022"/>
      <c r="F52" s="1022"/>
      <c r="G52" s="1022"/>
      <c r="H52" s="1022"/>
      <c r="I52" s="1022"/>
      <c r="J52" s="1022"/>
      <c r="K52" s="1022"/>
      <c r="L52" s="1022"/>
    </row>
    <row r="53" spans="1:12" x14ac:dyDescent="0.25">
      <c r="A53" s="959"/>
      <c r="B53" s="1022" t="s">
        <v>969</v>
      </c>
      <c r="C53" s="1022"/>
      <c r="D53" s="1022"/>
      <c r="E53" s="1022"/>
      <c r="F53" s="1022"/>
      <c r="G53" s="1022"/>
      <c r="H53" s="1022"/>
      <c r="I53" s="1022"/>
      <c r="J53" s="1022"/>
      <c r="K53" s="1022"/>
      <c r="L53" s="1022"/>
    </row>
    <row r="54" spans="1:12" x14ac:dyDescent="0.25">
      <c r="A54" s="959"/>
      <c r="B54" s="1022" t="s">
        <v>970</v>
      </c>
      <c r="C54" s="1022"/>
      <c r="D54" s="1022"/>
      <c r="E54" s="1022"/>
      <c r="F54" s="1022"/>
      <c r="G54" s="1022"/>
      <c r="H54" s="1022"/>
      <c r="I54" s="1022"/>
      <c r="J54" s="1022"/>
      <c r="K54" s="1022"/>
      <c r="L54" s="1022"/>
    </row>
    <row r="55" spans="1:12" x14ac:dyDescent="0.25">
      <c r="A55" s="959"/>
      <c r="B55" s="1022" t="s">
        <v>986</v>
      </c>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0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22:E22"/>
    <mergeCell ref="B23:E23"/>
    <mergeCell ref="B24:E24"/>
    <mergeCell ref="B25:E25"/>
    <mergeCell ref="B26:E26"/>
    <mergeCell ref="B27:E27"/>
    <mergeCell ref="G46:L46"/>
    <mergeCell ref="A47:A51"/>
    <mergeCell ref="B47:F47"/>
    <mergeCell ref="G47:L47"/>
    <mergeCell ref="B48:F48"/>
    <mergeCell ref="G48:L48"/>
    <mergeCell ref="B49:F49"/>
    <mergeCell ref="G49:L49"/>
    <mergeCell ref="B50:F50"/>
    <mergeCell ref="G50:L50"/>
    <mergeCell ref="B51:F51"/>
    <mergeCell ref="G51:L51"/>
    <mergeCell ref="A1:E1"/>
    <mergeCell ref="B2:E2"/>
    <mergeCell ref="B31:D31"/>
    <mergeCell ref="B32:D32"/>
    <mergeCell ref="G32:I32"/>
    <mergeCell ref="B33:D33"/>
    <mergeCell ref="H33:I33"/>
    <mergeCell ref="G40:I40"/>
    <mergeCell ref="B34:D34"/>
    <mergeCell ref="H34:I34"/>
    <mergeCell ref="B35:D35"/>
    <mergeCell ref="H35:I35"/>
    <mergeCell ref="B36:D36"/>
    <mergeCell ref="B20:E20"/>
    <mergeCell ref="B11:E11"/>
    <mergeCell ref="B12:E12"/>
    <mergeCell ref="B13:E13"/>
    <mergeCell ref="B14:E14"/>
    <mergeCell ref="B15:E15"/>
    <mergeCell ref="B16:E16"/>
    <mergeCell ref="B17:E17"/>
    <mergeCell ref="B18:E18"/>
    <mergeCell ref="B19:E19"/>
    <mergeCell ref="B5:E5"/>
    <mergeCell ref="G2:H2"/>
    <mergeCell ref="B3:E3"/>
    <mergeCell ref="G3:H3"/>
    <mergeCell ref="B42:D42"/>
    <mergeCell ref="B44:D44"/>
    <mergeCell ref="B37:D37"/>
    <mergeCell ref="B38:D38"/>
    <mergeCell ref="B39:D39"/>
    <mergeCell ref="B40:D40"/>
    <mergeCell ref="B41:D41"/>
    <mergeCell ref="B6:E6"/>
    <mergeCell ref="B7:E7"/>
    <mergeCell ref="G7:H7"/>
    <mergeCell ref="G4:H4"/>
    <mergeCell ref="G5:H5"/>
    <mergeCell ref="G6:H6"/>
    <mergeCell ref="B4:E4"/>
    <mergeCell ref="B8:E8"/>
    <mergeCell ref="G8:G10"/>
    <mergeCell ref="B9:E9"/>
    <mergeCell ref="B10:E10"/>
    <mergeCell ref="B28:E28"/>
    <mergeCell ref="B29:E29"/>
    <mergeCell ref="B21:E21"/>
  </mergeCells>
  <conditionalFormatting sqref="B5">
    <cfRule type="containsText" dxfId="374" priority="1" operator="containsText" text="Terminé">
      <formula>NOT(ISERROR(SEARCH("Terminé",B5)))</formula>
    </cfRule>
    <cfRule type="containsText" dxfId="373" priority="2" operator="containsText" text="En cours">
      <formula>NOT(ISERROR(SEARCH("En cours",B5)))</formula>
    </cfRule>
    <cfRule type="containsText" dxfId="37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B17" sqref="B17:E17"/>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617</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657</v>
      </c>
      <c r="C8" s="967"/>
      <c r="D8" s="967"/>
      <c r="E8" s="967"/>
      <c r="Z8" s="1028" t="s">
        <v>611</v>
      </c>
      <c r="AA8" s="1029"/>
      <c r="AB8" s="357">
        <v>0.26819999999999999</v>
      </c>
    </row>
    <row r="9" spans="1:28" ht="24" customHeight="1" x14ac:dyDescent="0.25">
      <c r="A9" s="356" t="s">
        <v>0</v>
      </c>
      <c r="B9" s="1183" t="s">
        <v>658</v>
      </c>
      <c r="C9" s="1183"/>
      <c r="D9" s="1183"/>
      <c r="E9" s="1183"/>
      <c r="Z9" s="1028" t="s">
        <v>612</v>
      </c>
      <c r="AA9" s="1029"/>
      <c r="AB9" s="357">
        <v>3.1300000000000001E-2</v>
      </c>
    </row>
    <row r="10" spans="1:28" ht="33.75" customHeight="1" x14ac:dyDescent="0.25">
      <c r="A10" s="356" t="s">
        <v>2</v>
      </c>
      <c r="B10" s="1034" t="s">
        <v>659</v>
      </c>
      <c r="C10" s="1035"/>
      <c r="D10" s="1035"/>
      <c r="E10" s="1035"/>
      <c r="Z10" s="1028"/>
      <c r="AA10" s="1029"/>
      <c r="AB10" s="357"/>
    </row>
    <row r="11" spans="1:28" ht="15.75" x14ac:dyDescent="0.25">
      <c r="A11" s="356" t="s">
        <v>29</v>
      </c>
      <c r="B11" s="1034"/>
      <c r="C11" s="1035"/>
      <c r="D11" s="1035"/>
      <c r="E11" s="1035"/>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v>2007</v>
      </c>
      <c r="C15" s="1010"/>
      <c r="D15" s="1010"/>
      <c r="E15" s="1010"/>
      <c r="Z15" s="1028" t="s">
        <v>578</v>
      </c>
      <c r="AA15" s="1029"/>
      <c r="AB15" s="357">
        <v>0.27700000000000002</v>
      </c>
    </row>
    <row r="16" spans="1:28" ht="30" customHeight="1" x14ac:dyDescent="0.25">
      <c r="A16" s="356" t="s">
        <v>5</v>
      </c>
      <c r="B16" s="1010">
        <v>2012</v>
      </c>
      <c r="C16" s="1010"/>
      <c r="D16" s="1010"/>
      <c r="E16" s="1010"/>
      <c r="Z16" s="1028" t="s">
        <v>579</v>
      </c>
      <c r="AA16" s="1029"/>
      <c r="AB16" s="357">
        <v>0.20269999999999999</v>
      </c>
    </row>
    <row r="17" spans="1:11" ht="30" customHeight="1" x14ac:dyDescent="0.25">
      <c r="A17" s="356" t="s">
        <v>6</v>
      </c>
      <c r="B17" s="1000">
        <v>0</v>
      </c>
      <c r="C17" s="1000"/>
      <c r="D17" s="1000"/>
      <c r="E17" s="1000"/>
    </row>
    <row r="18" spans="1:11" ht="30" customHeight="1" x14ac:dyDescent="0.25">
      <c r="A18" s="356" t="s">
        <v>7</v>
      </c>
      <c r="B18" s="1000">
        <v>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0</v>
      </c>
      <c r="C23" s="1016"/>
      <c r="D23" s="1016"/>
      <c r="E23" s="1016"/>
    </row>
    <row r="24" spans="1:11" ht="30" customHeight="1" x14ac:dyDescent="0.25">
      <c r="A24" s="356" t="s">
        <v>302</v>
      </c>
      <c r="B24" s="1017">
        <f>(B17-B18)/(B21+B22)</f>
        <v>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50" priority="1" operator="containsText" text="Terminé">
      <formula>NOT(ISERROR(SEARCH("Terminé",B5)))</formula>
    </cfRule>
    <cfRule type="containsText" dxfId="49" priority="2" operator="containsText" text="En cours">
      <formula>NOT(ISERROR(SEARCH("En cours",B5)))</formula>
    </cfRule>
    <cfRule type="containsText" dxfId="4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2" workbookViewId="0">
      <selection activeCell="B17" sqref="B17:E17"/>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618</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36</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35</v>
      </c>
      <c r="C8" s="967"/>
      <c r="D8" s="967"/>
      <c r="E8" s="967"/>
      <c r="Z8" s="1028" t="s">
        <v>611</v>
      </c>
      <c r="AA8" s="1029"/>
      <c r="AB8" s="357">
        <v>0.26819999999999999</v>
      </c>
    </row>
    <row r="9" spans="1:28" ht="24" customHeight="1" x14ac:dyDescent="0.25">
      <c r="A9" s="356" t="s">
        <v>0</v>
      </c>
      <c r="B9" s="1183" t="s">
        <v>665</v>
      </c>
      <c r="C9" s="1183"/>
      <c r="D9" s="1183"/>
      <c r="E9" s="1183"/>
      <c r="Z9" s="1028" t="s">
        <v>612</v>
      </c>
      <c r="AA9" s="1029"/>
      <c r="AB9" s="357">
        <v>3.1300000000000001E-2</v>
      </c>
    </row>
    <row r="10" spans="1:28" ht="52.5" customHeight="1" x14ac:dyDescent="0.25">
      <c r="A10" s="356" t="s">
        <v>2</v>
      </c>
      <c r="B10" s="1034" t="s">
        <v>1317</v>
      </c>
      <c r="C10" s="1035"/>
      <c r="D10" s="1035"/>
      <c r="E10" s="1035"/>
      <c r="Z10" s="1028"/>
      <c r="AA10" s="1029"/>
      <c r="AB10" s="357"/>
    </row>
    <row r="11" spans="1:28" ht="15.75" x14ac:dyDescent="0.25">
      <c r="A11" s="356" t="s">
        <v>29</v>
      </c>
      <c r="B11" s="1034" t="s">
        <v>1318</v>
      </c>
      <c r="C11" s="1035"/>
      <c r="D11" s="1035"/>
      <c r="E11" s="1035"/>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v>2020</v>
      </c>
      <c r="C15" s="1010"/>
      <c r="D15" s="1010"/>
      <c r="E15" s="1010"/>
      <c r="Z15" s="1028" t="s">
        <v>578</v>
      </c>
      <c r="AA15" s="1029"/>
      <c r="AB15" s="357">
        <v>0.27700000000000002</v>
      </c>
    </row>
    <row r="16" spans="1:28" ht="30" customHeight="1" x14ac:dyDescent="0.25">
      <c r="A16" s="356" t="s">
        <v>5</v>
      </c>
      <c r="B16" s="1010">
        <v>2025</v>
      </c>
      <c r="C16" s="1010"/>
      <c r="D16" s="1010"/>
      <c r="E16" s="1010"/>
      <c r="Z16" s="1028" t="s">
        <v>579</v>
      </c>
      <c r="AA16" s="1029"/>
      <c r="AB16" s="357">
        <v>0.20269999999999999</v>
      </c>
    </row>
    <row r="17" spans="1:11" ht="30" customHeight="1" x14ac:dyDescent="0.25">
      <c r="A17" s="356" t="s">
        <v>6</v>
      </c>
      <c r="B17" s="1000">
        <v>0</v>
      </c>
      <c r="C17" s="1000"/>
      <c r="D17" s="1000"/>
      <c r="E17" s="1000"/>
    </row>
    <row r="18" spans="1:11" ht="30" customHeight="1" x14ac:dyDescent="0.25">
      <c r="A18" s="356" t="s">
        <v>7</v>
      </c>
      <c r="B18" s="1000">
        <v>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0</v>
      </c>
      <c r="C23" s="1016"/>
      <c r="D23" s="1016"/>
      <c r="E23" s="1016"/>
    </row>
    <row r="24" spans="1:11" ht="30" customHeight="1" x14ac:dyDescent="0.25">
      <c r="A24" s="356" t="s">
        <v>302</v>
      </c>
      <c r="B24" s="1017">
        <f>(B17-B18)/(B21+B22)</f>
        <v>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47" priority="1" operator="containsText" text="Terminé">
      <formula>NOT(ISERROR(SEARCH("Terminé",B5)))</formula>
    </cfRule>
    <cfRule type="containsText" dxfId="46" priority="2" operator="containsText" text="En cours">
      <formula>NOT(ISERROR(SEARCH("En cours",B5)))</formula>
    </cfRule>
    <cfRule type="containsText" dxfId="4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B17" sqref="B17:E17"/>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619</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655</v>
      </c>
      <c r="C8" s="967"/>
      <c r="D8" s="967"/>
      <c r="E8" s="967"/>
      <c r="Z8" s="1028" t="s">
        <v>611</v>
      </c>
      <c r="AA8" s="1029"/>
      <c r="AB8" s="357">
        <v>0.26819999999999999</v>
      </c>
    </row>
    <row r="9" spans="1:28" ht="24" customHeight="1" x14ac:dyDescent="0.25">
      <c r="A9" s="356" t="s">
        <v>0</v>
      </c>
      <c r="B9" s="1183" t="s">
        <v>656</v>
      </c>
      <c r="C9" s="1183"/>
      <c r="D9" s="1183"/>
      <c r="E9" s="1183"/>
      <c r="Z9" s="1028" t="s">
        <v>612</v>
      </c>
      <c r="AA9" s="1029"/>
      <c r="AB9" s="357">
        <v>3.1300000000000001E-2</v>
      </c>
    </row>
    <row r="10" spans="1:28" ht="33.75" customHeight="1" x14ac:dyDescent="0.25">
      <c r="A10" s="356" t="s">
        <v>2</v>
      </c>
      <c r="B10" s="1034" t="s">
        <v>1319</v>
      </c>
      <c r="C10" s="1035"/>
      <c r="D10" s="1035"/>
      <c r="E10" s="1035"/>
      <c r="Z10" s="1028"/>
      <c r="AA10" s="1029"/>
      <c r="AB10" s="357"/>
    </row>
    <row r="11" spans="1:28" ht="15.75" x14ac:dyDescent="0.25">
      <c r="A11" s="356" t="s">
        <v>29</v>
      </c>
      <c r="B11" s="1034"/>
      <c r="C11" s="1035"/>
      <c r="D11" s="1035"/>
      <c r="E11" s="1035"/>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v>2012</v>
      </c>
      <c r="C15" s="1010"/>
      <c r="D15" s="1010"/>
      <c r="E15" s="1010"/>
      <c r="Z15" s="1028" t="s">
        <v>578</v>
      </c>
      <c r="AA15" s="1029"/>
      <c r="AB15" s="357">
        <v>0.27700000000000002</v>
      </c>
    </row>
    <row r="16" spans="1:28" ht="30" customHeight="1" x14ac:dyDescent="0.25">
      <c r="A16" s="356" t="s">
        <v>5</v>
      </c>
      <c r="B16" s="1010">
        <v>2018</v>
      </c>
      <c r="C16" s="1010"/>
      <c r="D16" s="1010"/>
      <c r="E16" s="1010"/>
      <c r="Z16" s="1028" t="s">
        <v>579</v>
      </c>
      <c r="AA16" s="1029"/>
      <c r="AB16" s="357">
        <v>0.20269999999999999</v>
      </c>
    </row>
    <row r="17" spans="1:11" ht="30" customHeight="1" x14ac:dyDescent="0.25">
      <c r="A17" s="356" t="s">
        <v>6</v>
      </c>
      <c r="B17" s="1000">
        <v>50000</v>
      </c>
      <c r="C17" s="1000"/>
      <c r="D17" s="1000"/>
      <c r="E17" s="1000"/>
    </row>
    <row r="18" spans="1:11" ht="30" customHeight="1" x14ac:dyDescent="0.25">
      <c r="A18" s="356" t="s">
        <v>7</v>
      </c>
      <c r="B18" s="1000"/>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50000</v>
      </c>
      <c r="C23" s="1016"/>
      <c r="D23" s="1016"/>
      <c r="E23" s="1016"/>
    </row>
    <row r="24" spans="1:11" ht="30" customHeight="1" x14ac:dyDescent="0.25">
      <c r="A24" s="356" t="s">
        <v>302</v>
      </c>
      <c r="B24" s="1017">
        <f>(B17-B18)/(B21+B22)</f>
        <v>50000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44" priority="1" operator="containsText" text="Terminé">
      <formula>NOT(ISERROR(SEARCH("Terminé",B5)))</formula>
    </cfRule>
    <cfRule type="containsText" dxfId="43" priority="2" operator="containsText" text="En cours">
      <formula>NOT(ISERROR(SEARCH("En cours",B5)))</formula>
    </cfRule>
    <cfRule type="containsText" dxfId="4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620</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653</v>
      </c>
      <c r="C8" s="967"/>
      <c r="D8" s="967"/>
      <c r="E8" s="967"/>
      <c r="Z8" s="1028" t="s">
        <v>611</v>
      </c>
      <c r="AA8" s="1029"/>
      <c r="AB8" s="357">
        <v>0.26819999999999999</v>
      </c>
    </row>
    <row r="9" spans="1:28" ht="24" customHeight="1" x14ac:dyDescent="0.25">
      <c r="A9" s="356" t="s">
        <v>0</v>
      </c>
      <c r="B9" s="1183" t="s">
        <v>654</v>
      </c>
      <c r="C9" s="1183"/>
      <c r="D9" s="1183"/>
      <c r="E9" s="1183"/>
      <c r="Z9" s="1028" t="s">
        <v>612</v>
      </c>
      <c r="AA9" s="1029"/>
      <c r="AB9" s="357">
        <v>3.1300000000000001E-2</v>
      </c>
    </row>
    <row r="10" spans="1:28" ht="33.75" customHeight="1" x14ac:dyDescent="0.25">
      <c r="A10" s="356" t="s">
        <v>2</v>
      </c>
      <c r="B10" s="1034" t="s">
        <v>1217</v>
      </c>
      <c r="C10" s="1035"/>
      <c r="D10" s="1035"/>
      <c r="E10" s="1035"/>
      <c r="Z10" s="1028"/>
      <c r="AA10" s="1029"/>
      <c r="AB10" s="357"/>
    </row>
    <row r="11" spans="1:28" ht="15.75" x14ac:dyDescent="0.25">
      <c r="A11" s="356" t="s">
        <v>29</v>
      </c>
      <c r="B11" s="1034"/>
      <c r="C11" s="1035"/>
      <c r="D11" s="1035"/>
      <c r="E11" s="1035"/>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v>2012</v>
      </c>
      <c r="C15" s="1010"/>
      <c r="D15" s="1010"/>
      <c r="E15" s="1010"/>
      <c r="Z15" s="1028" t="s">
        <v>578</v>
      </c>
      <c r="AA15" s="1029"/>
      <c r="AB15" s="357">
        <v>0.27700000000000002</v>
      </c>
    </row>
    <row r="16" spans="1:28" ht="30" customHeight="1" x14ac:dyDescent="0.25">
      <c r="A16" s="356" t="s">
        <v>5</v>
      </c>
      <c r="B16" s="1010">
        <v>2018</v>
      </c>
      <c r="C16" s="1010"/>
      <c r="D16" s="1010"/>
      <c r="E16" s="1010"/>
      <c r="Z16" s="1028" t="s">
        <v>579</v>
      </c>
      <c r="AA16" s="1029"/>
      <c r="AB16" s="357">
        <v>0.20269999999999999</v>
      </c>
    </row>
    <row r="17" spans="1:11" ht="30" customHeight="1" x14ac:dyDescent="0.25">
      <c r="A17" s="356" t="s">
        <v>6</v>
      </c>
      <c r="B17" s="1000">
        <v>18000</v>
      </c>
      <c r="C17" s="1000"/>
      <c r="D17" s="1000"/>
      <c r="E17" s="1000"/>
    </row>
    <row r="18" spans="1:11" ht="30" customHeight="1" x14ac:dyDescent="0.25">
      <c r="A18" s="356" t="s">
        <v>7</v>
      </c>
      <c r="B18" s="1000"/>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18000</v>
      </c>
      <c r="C23" s="1016"/>
      <c r="D23" s="1016"/>
      <c r="E23" s="1016"/>
    </row>
    <row r="24" spans="1:11" ht="30" customHeight="1" x14ac:dyDescent="0.25">
      <c r="A24" s="356" t="s">
        <v>302</v>
      </c>
      <c r="B24" s="1017">
        <f>(B17-B18)/(B21+B22)</f>
        <v>18000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41" priority="1" operator="containsText" text="Terminé">
      <formula>NOT(ISERROR(SEARCH("Terminé",B5)))</formula>
    </cfRule>
    <cfRule type="containsText" dxfId="40" priority="2" operator="containsText" text="En cours">
      <formula>NOT(ISERROR(SEARCH("En cours",B5)))</formula>
    </cfRule>
    <cfRule type="containsText" dxfId="3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621</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638</v>
      </c>
      <c r="C8" s="967"/>
      <c r="D8" s="967"/>
      <c r="E8" s="967"/>
      <c r="Z8" s="1028" t="s">
        <v>611</v>
      </c>
      <c r="AA8" s="1029"/>
      <c r="AB8" s="357">
        <v>0.26819999999999999</v>
      </c>
    </row>
    <row r="9" spans="1:28" ht="24" customHeight="1" x14ac:dyDescent="0.25">
      <c r="A9" s="356" t="s">
        <v>0</v>
      </c>
      <c r="B9" s="1183" t="s">
        <v>649</v>
      </c>
      <c r="C9" s="1183"/>
      <c r="D9" s="1183"/>
      <c r="E9" s="1183"/>
      <c r="Z9" s="1028" t="s">
        <v>612</v>
      </c>
      <c r="AA9" s="1029"/>
      <c r="AB9" s="357">
        <v>3.1300000000000001E-2</v>
      </c>
    </row>
    <row r="10" spans="1:28" ht="33.75" customHeight="1" x14ac:dyDescent="0.25">
      <c r="A10" s="356" t="s">
        <v>2</v>
      </c>
      <c r="B10" s="1034" t="s">
        <v>650</v>
      </c>
      <c r="C10" s="1035"/>
      <c r="D10" s="1035"/>
      <c r="E10" s="1035"/>
      <c r="Z10" s="1028"/>
      <c r="AA10" s="1029"/>
      <c r="AB10" s="357"/>
    </row>
    <row r="11" spans="1:28" ht="15.75" x14ac:dyDescent="0.25">
      <c r="A11" s="356" t="s">
        <v>29</v>
      </c>
      <c r="B11" s="1034" t="s">
        <v>1306</v>
      </c>
      <c r="C11" s="1035"/>
      <c r="D11" s="1035"/>
      <c r="E11" s="1035"/>
      <c r="Z11" s="1028" t="s">
        <v>613</v>
      </c>
      <c r="AA11" s="1029"/>
      <c r="AB11" s="357">
        <v>0.26819999999999999</v>
      </c>
    </row>
    <row r="12" spans="1:28" ht="30" customHeight="1" x14ac:dyDescent="0.25">
      <c r="A12" s="356" t="s">
        <v>14</v>
      </c>
      <c r="B12" s="1010" t="s">
        <v>339</v>
      </c>
      <c r="C12" s="1010"/>
      <c r="D12" s="1010"/>
      <c r="E12" s="1010"/>
      <c r="Z12" s="1028" t="s">
        <v>614</v>
      </c>
      <c r="AA12" s="1029"/>
      <c r="AB12" s="357">
        <v>1.18E-2</v>
      </c>
    </row>
    <row r="13" spans="1:28" ht="30" customHeight="1" x14ac:dyDescent="0.25">
      <c r="A13" s="356" t="s">
        <v>3</v>
      </c>
      <c r="B13" s="1011"/>
      <c r="C13" s="1011"/>
      <c r="D13" s="1011"/>
      <c r="E13" s="1011"/>
      <c r="Z13" s="1028" t="s">
        <v>615</v>
      </c>
      <c r="AA13" s="1029"/>
      <c r="AB13" s="358">
        <v>0.36854545454545451</v>
      </c>
    </row>
    <row r="14" spans="1:28" ht="30" customHeight="1" x14ac:dyDescent="0.25">
      <c r="A14" s="356" t="s">
        <v>15</v>
      </c>
      <c r="B14" s="1010" t="s">
        <v>1305</v>
      </c>
      <c r="C14" s="1010"/>
      <c r="D14" s="1010"/>
      <c r="E14" s="1010"/>
      <c r="Z14" s="1028" t="s">
        <v>616</v>
      </c>
      <c r="AA14" s="1029"/>
      <c r="AB14" s="357">
        <v>0.26819999999999999</v>
      </c>
    </row>
    <row r="15" spans="1:28" ht="30" customHeight="1" x14ac:dyDescent="0.25">
      <c r="A15" s="356" t="s">
        <v>4</v>
      </c>
      <c r="B15" s="1010">
        <v>2016</v>
      </c>
      <c r="C15" s="1010"/>
      <c r="D15" s="1010"/>
      <c r="E15" s="1010"/>
      <c r="Z15" s="1028" t="s">
        <v>578</v>
      </c>
      <c r="AA15" s="1029"/>
      <c r="AB15" s="357">
        <v>0.27700000000000002</v>
      </c>
    </row>
    <row r="16" spans="1:28" ht="30" customHeight="1" x14ac:dyDescent="0.25">
      <c r="A16" s="356" t="s">
        <v>5</v>
      </c>
      <c r="B16" s="1010">
        <v>2025</v>
      </c>
      <c r="C16" s="1010"/>
      <c r="D16" s="1010"/>
      <c r="E16" s="1010"/>
      <c r="Z16" s="1028" t="s">
        <v>579</v>
      </c>
      <c r="AA16" s="1029"/>
      <c r="AB16" s="357">
        <v>0.20269999999999999</v>
      </c>
    </row>
    <row r="17" spans="1:11" ht="30" customHeight="1" x14ac:dyDescent="0.25">
      <c r="A17" s="356" t="s">
        <v>6</v>
      </c>
      <c r="B17" s="1000">
        <v>200000</v>
      </c>
      <c r="C17" s="1000"/>
      <c r="D17" s="1000"/>
      <c r="E17" s="1000"/>
    </row>
    <row r="18" spans="1:11" ht="30" customHeight="1" x14ac:dyDescent="0.25">
      <c r="A18" s="356" t="s">
        <v>7</v>
      </c>
      <c r="B18" s="1000">
        <f>+B17*0.3</f>
        <v>60000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200000</v>
      </c>
      <c r="C23" s="1016"/>
      <c r="D23" s="1016"/>
      <c r="E23" s="1016"/>
    </row>
    <row r="24" spans="1:11" ht="30" customHeight="1" x14ac:dyDescent="0.25">
      <c r="A24" s="356" t="s">
        <v>302</v>
      </c>
      <c r="B24" s="1017">
        <f>(B17-B18)/(B21+B22)</f>
        <v>140000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38" priority="1" operator="containsText" text="Terminé">
      <formula>NOT(ISERROR(SEARCH("Terminé",B5)))</formula>
    </cfRule>
    <cfRule type="containsText" dxfId="37" priority="2" operator="containsText" text="En cours">
      <formula>NOT(ISERROR(SEARCH("En cours",B5)))</formula>
    </cfRule>
    <cfRule type="containsText" dxfId="3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4"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622</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73" t="s">
        <v>1</v>
      </c>
      <c r="B8" s="967" t="s">
        <v>638</v>
      </c>
      <c r="C8" s="967"/>
      <c r="D8" s="967"/>
      <c r="E8" s="967"/>
      <c r="Z8" s="1028" t="s">
        <v>611</v>
      </c>
      <c r="AA8" s="1029"/>
      <c r="AB8" s="357">
        <v>0.26819999999999999</v>
      </c>
    </row>
    <row r="9" spans="1:28" ht="24" customHeight="1" x14ac:dyDescent="0.25">
      <c r="A9" s="373" t="s">
        <v>0</v>
      </c>
      <c r="B9" s="1183" t="s">
        <v>639</v>
      </c>
      <c r="C9" s="1183"/>
      <c r="D9" s="1183"/>
      <c r="E9" s="1183"/>
      <c r="Z9" s="1028" t="s">
        <v>612</v>
      </c>
      <c r="AA9" s="1029"/>
      <c r="AB9" s="357">
        <v>3.1300000000000001E-2</v>
      </c>
    </row>
    <row r="10" spans="1:28" ht="33.75" customHeight="1" x14ac:dyDescent="0.25">
      <c r="A10" s="373" t="s">
        <v>2</v>
      </c>
      <c r="B10" s="1034" t="s">
        <v>640</v>
      </c>
      <c r="C10" s="1035"/>
      <c r="D10" s="1035"/>
      <c r="E10" s="1035"/>
      <c r="Z10" s="1028"/>
      <c r="AA10" s="1029"/>
      <c r="AB10" s="357"/>
    </row>
    <row r="11" spans="1:28" ht="15.75" x14ac:dyDescent="0.25">
      <c r="A11" s="373" t="s">
        <v>29</v>
      </c>
      <c r="B11" s="1034"/>
      <c r="C11" s="1035"/>
      <c r="D11" s="1035"/>
      <c r="E11" s="1035"/>
      <c r="Z11" s="1028" t="s">
        <v>613</v>
      </c>
      <c r="AA11" s="1029"/>
      <c r="AB11" s="357">
        <v>0.26819999999999999</v>
      </c>
    </row>
    <row r="12" spans="1:28" ht="30" customHeight="1" x14ac:dyDescent="0.25">
      <c r="A12" s="373" t="s">
        <v>14</v>
      </c>
      <c r="B12" s="1010" t="s">
        <v>939</v>
      </c>
      <c r="C12" s="1010"/>
      <c r="D12" s="1010"/>
      <c r="E12" s="1010"/>
      <c r="Z12" s="1028" t="s">
        <v>614</v>
      </c>
      <c r="AA12" s="1029"/>
      <c r="AB12" s="357">
        <v>1.18E-2</v>
      </c>
    </row>
    <row r="13" spans="1:28" ht="30" customHeight="1" x14ac:dyDescent="0.25">
      <c r="A13" s="373" t="s">
        <v>3</v>
      </c>
      <c r="B13" s="1011" t="s">
        <v>943</v>
      </c>
      <c r="C13" s="1011"/>
      <c r="D13" s="1011"/>
      <c r="E13" s="1011"/>
      <c r="Z13" s="1028" t="s">
        <v>615</v>
      </c>
      <c r="AA13" s="1029"/>
      <c r="AB13" s="358">
        <v>0.36854545454545451</v>
      </c>
    </row>
    <row r="14" spans="1:28" ht="30" customHeight="1" x14ac:dyDescent="0.25">
      <c r="A14" s="373" t="s">
        <v>15</v>
      </c>
      <c r="B14" s="1010"/>
      <c r="C14" s="1010"/>
      <c r="D14" s="1010"/>
      <c r="E14" s="1010"/>
      <c r="Z14" s="1028" t="s">
        <v>616</v>
      </c>
      <c r="AA14" s="1029"/>
      <c r="AB14" s="357">
        <v>0.26819999999999999</v>
      </c>
    </row>
    <row r="15" spans="1:28" ht="30" customHeight="1" x14ac:dyDescent="0.25">
      <c r="A15" s="373" t="s">
        <v>4</v>
      </c>
      <c r="B15" s="1010">
        <v>2012</v>
      </c>
      <c r="C15" s="1010"/>
      <c r="D15" s="1010"/>
      <c r="E15" s="1010"/>
      <c r="Z15" s="1028" t="s">
        <v>578</v>
      </c>
      <c r="AA15" s="1029"/>
      <c r="AB15" s="357">
        <v>0.27700000000000002</v>
      </c>
    </row>
    <row r="16" spans="1:28" ht="30" customHeight="1" x14ac:dyDescent="0.25">
      <c r="A16" s="373" t="s">
        <v>5</v>
      </c>
      <c r="B16" s="1010">
        <v>2018</v>
      </c>
      <c r="C16" s="1010"/>
      <c r="D16" s="1010"/>
      <c r="E16" s="1010"/>
      <c r="Z16" s="1028" t="s">
        <v>579</v>
      </c>
      <c r="AA16" s="1029"/>
      <c r="AB16" s="357">
        <v>0.20269999999999999</v>
      </c>
    </row>
    <row r="17" spans="1:11" ht="30" customHeight="1" x14ac:dyDescent="0.25">
      <c r="A17" s="373" t="s">
        <v>6</v>
      </c>
      <c r="B17" s="1000">
        <v>100000</v>
      </c>
      <c r="C17" s="1000"/>
      <c r="D17" s="1000"/>
      <c r="E17" s="1000"/>
    </row>
    <row r="18" spans="1:11" ht="30" customHeight="1" x14ac:dyDescent="0.25">
      <c r="A18" s="373" t="s">
        <v>7</v>
      </c>
      <c r="B18" s="1000">
        <f>+B17*0.3</f>
        <v>30000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73" t="s">
        <v>8</v>
      </c>
      <c r="B21" s="1000">
        <v>1</v>
      </c>
      <c r="C21" s="1000"/>
      <c r="D21" s="1000"/>
      <c r="E21" s="1000"/>
    </row>
    <row r="22" spans="1:11" ht="30" customHeight="1" x14ac:dyDescent="0.25">
      <c r="A22" s="373" t="s">
        <v>9</v>
      </c>
      <c r="B22" s="1000">
        <f>B20/1000*M11</f>
        <v>0</v>
      </c>
      <c r="C22" s="1000"/>
      <c r="D22" s="1000"/>
      <c r="E22" s="1000"/>
    </row>
    <row r="23" spans="1:11" ht="30" customHeight="1" x14ac:dyDescent="0.25">
      <c r="A23" s="373" t="s">
        <v>301</v>
      </c>
      <c r="B23" s="1016">
        <f>B17/(B21+B22)</f>
        <v>100000</v>
      </c>
      <c r="C23" s="1016"/>
      <c r="D23" s="1016"/>
      <c r="E23" s="1016"/>
    </row>
    <row r="24" spans="1:11" ht="30" customHeight="1" x14ac:dyDescent="0.25">
      <c r="A24" s="373" t="s">
        <v>302</v>
      </c>
      <c r="B24" s="1017">
        <f>(B17-B18)/(B21+B22)</f>
        <v>70000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35" priority="1" operator="containsText" text="Terminé">
      <formula>NOT(ISERROR(SEARCH("Terminé",B5)))</formula>
    </cfRule>
    <cfRule type="containsText" dxfId="34" priority="2" operator="containsText" text="En cours">
      <formula>NOT(ISERROR(SEARCH("En cours",B5)))</formula>
    </cfRule>
    <cfRule type="containsText" dxfId="3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6" workbookViewId="0">
      <selection activeCell="B19" sqref="B19:E19"/>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623</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20</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646</v>
      </c>
      <c r="C8" s="967"/>
      <c r="D8" s="967"/>
      <c r="E8" s="967"/>
      <c r="Z8" s="1028" t="s">
        <v>611</v>
      </c>
      <c r="AA8" s="1029"/>
      <c r="AB8" s="357">
        <v>0.26819999999999999</v>
      </c>
    </row>
    <row r="9" spans="1:28" ht="24" customHeight="1" x14ac:dyDescent="0.25">
      <c r="A9" s="356" t="s">
        <v>0</v>
      </c>
      <c r="B9" s="1183" t="s">
        <v>647</v>
      </c>
      <c r="C9" s="1183"/>
      <c r="D9" s="1183"/>
      <c r="E9" s="1183"/>
      <c r="Z9" s="1028" t="s">
        <v>612</v>
      </c>
      <c r="AA9" s="1029"/>
      <c r="AB9" s="357">
        <v>3.1300000000000001E-2</v>
      </c>
    </row>
    <row r="10" spans="1:28" ht="33.75" customHeight="1" x14ac:dyDescent="0.25">
      <c r="A10" s="356" t="s">
        <v>2</v>
      </c>
      <c r="B10" s="1034" t="s">
        <v>648</v>
      </c>
      <c r="C10" s="1035"/>
      <c r="D10" s="1035"/>
      <c r="E10" s="1035"/>
      <c r="Z10" s="1028"/>
      <c r="AA10" s="1029"/>
      <c r="AB10" s="357"/>
    </row>
    <row r="11" spans="1:28" ht="15.75" customHeight="1" x14ac:dyDescent="0.25">
      <c r="A11" s="356" t="s">
        <v>29</v>
      </c>
      <c r="B11" s="1034"/>
      <c r="C11" s="1035"/>
      <c r="D11" s="1035"/>
      <c r="E11" s="1035"/>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v>2018</v>
      </c>
      <c r="C15" s="1010"/>
      <c r="D15" s="1010"/>
      <c r="E15" s="1010"/>
      <c r="Z15" s="1028" t="s">
        <v>578</v>
      </c>
      <c r="AA15" s="1029"/>
      <c r="AB15" s="357">
        <v>0.27700000000000002</v>
      </c>
    </row>
    <row r="16" spans="1:28" ht="30" customHeight="1" x14ac:dyDescent="0.25">
      <c r="A16" s="356" t="s">
        <v>5</v>
      </c>
      <c r="B16" s="1010">
        <v>2030</v>
      </c>
      <c r="C16" s="1010"/>
      <c r="D16" s="1010"/>
      <c r="E16" s="1010"/>
      <c r="Z16" s="1028" t="s">
        <v>579</v>
      </c>
      <c r="AA16" s="1029"/>
      <c r="AB16" s="357">
        <v>0.20269999999999999</v>
      </c>
    </row>
    <row r="17" spans="1:11" ht="30" customHeight="1" x14ac:dyDescent="0.25">
      <c r="A17" s="356" t="s">
        <v>6</v>
      </c>
      <c r="B17" s="1000"/>
      <c r="C17" s="1000"/>
      <c r="D17" s="1000"/>
      <c r="E17" s="1000"/>
    </row>
    <row r="18" spans="1:11" ht="30" customHeight="1" x14ac:dyDescent="0.25">
      <c r="A18" s="356" t="s">
        <v>7</v>
      </c>
      <c r="B18" s="1000"/>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0</v>
      </c>
      <c r="C23" s="1016"/>
      <c r="D23" s="1016"/>
      <c r="E23" s="1016"/>
    </row>
    <row r="24" spans="1:11" ht="30" customHeight="1" x14ac:dyDescent="0.25">
      <c r="A24" s="356" t="s">
        <v>302</v>
      </c>
      <c r="B24" s="1017">
        <f>(B17-B18)/(B21+B22)</f>
        <v>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32" priority="1" operator="containsText" text="Terminé">
      <formula>NOT(ISERROR(SEARCH("Terminé",B5)))</formula>
    </cfRule>
    <cfRule type="containsText" dxfId="31" priority="2" operator="containsText" text="En cours">
      <formula>NOT(ISERROR(SEARCH("En cours",B5)))</formula>
    </cfRule>
    <cfRule type="containsText" dxfId="3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624</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641</v>
      </c>
      <c r="C8" s="967"/>
      <c r="D8" s="967"/>
      <c r="E8" s="967"/>
      <c r="Z8" s="1028" t="s">
        <v>611</v>
      </c>
      <c r="AA8" s="1029"/>
      <c r="AB8" s="357">
        <v>0.26819999999999999</v>
      </c>
    </row>
    <row r="9" spans="1:28" ht="24" customHeight="1" x14ac:dyDescent="0.25">
      <c r="A9" s="356" t="s">
        <v>0</v>
      </c>
      <c r="B9" s="1183" t="s">
        <v>642</v>
      </c>
      <c r="C9" s="1183"/>
      <c r="D9" s="1183"/>
      <c r="E9" s="1183"/>
      <c r="Z9" s="1028" t="s">
        <v>612</v>
      </c>
      <c r="AA9" s="1029"/>
      <c r="AB9" s="357">
        <v>3.1300000000000001E-2</v>
      </c>
    </row>
    <row r="10" spans="1:28" ht="33.75" customHeight="1" x14ac:dyDescent="0.25">
      <c r="A10" s="356" t="s">
        <v>2</v>
      </c>
      <c r="B10" s="1034" t="s">
        <v>643</v>
      </c>
      <c r="C10" s="1035"/>
      <c r="D10" s="1035"/>
      <c r="E10" s="1035"/>
      <c r="Z10" s="1028"/>
      <c r="AA10" s="1029"/>
      <c r="AB10" s="357"/>
    </row>
    <row r="11" spans="1:28" ht="15.75" x14ac:dyDescent="0.25">
      <c r="A11" s="356" t="s">
        <v>29</v>
      </c>
      <c r="B11" s="1034" t="s">
        <v>1307</v>
      </c>
      <c r="C11" s="1035"/>
      <c r="D11" s="1035"/>
      <c r="E11" s="1035"/>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v>2020</v>
      </c>
      <c r="C15" s="1010"/>
      <c r="D15" s="1010"/>
      <c r="E15" s="1010"/>
      <c r="Z15" s="1028" t="s">
        <v>578</v>
      </c>
      <c r="AA15" s="1029"/>
      <c r="AB15" s="357">
        <v>0.27700000000000002</v>
      </c>
    </row>
    <row r="16" spans="1:28" ht="30" customHeight="1" x14ac:dyDescent="0.25">
      <c r="A16" s="356" t="s">
        <v>5</v>
      </c>
      <c r="B16" s="1010">
        <v>2030</v>
      </c>
      <c r="C16" s="1010"/>
      <c r="D16" s="1010"/>
      <c r="E16" s="1010"/>
      <c r="Z16" s="1028" t="s">
        <v>579</v>
      </c>
      <c r="AA16" s="1029"/>
      <c r="AB16" s="357">
        <v>0.20269999999999999</v>
      </c>
    </row>
    <row r="17" spans="1:11" ht="30" customHeight="1" x14ac:dyDescent="0.25">
      <c r="A17" s="356" t="s">
        <v>6</v>
      </c>
      <c r="B17" s="1000">
        <v>10000</v>
      </c>
      <c r="C17" s="1000"/>
      <c r="D17" s="1000"/>
      <c r="E17" s="1000"/>
    </row>
    <row r="18" spans="1:11" ht="30" customHeight="1" x14ac:dyDescent="0.25">
      <c r="A18" s="356" t="s">
        <v>7</v>
      </c>
      <c r="B18" s="1000">
        <v>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10000</v>
      </c>
      <c r="C23" s="1016"/>
      <c r="D23" s="1016"/>
      <c r="E23" s="1016"/>
    </row>
    <row r="24" spans="1:11" ht="30" customHeight="1" x14ac:dyDescent="0.25">
      <c r="A24" s="356" t="s">
        <v>302</v>
      </c>
      <c r="B24" s="1017">
        <f>(B17-B18)/(B21+B22)</f>
        <v>10000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29" priority="1" operator="containsText" text="Terminé">
      <formula>NOT(ISERROR(SEARCH("Terminé",B5)))</formula>
    </cfRule>
    <cfRule type="containsText" dxfId="28" priority="2" operator="containsText" text="En cours">
      <formula>NOT(ISERROR(SEARCH("En cours",B5)))</formula>
    </cfRule>
    <cfRule type="containsText" dxfId="2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J15" sqref="J1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625</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41</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672</v>
      </c>
      <c r="C8" s="967"/>
      <c r="D8" s="967"/>
      <c r="E8" s="967"/>
      <c r="Z8" s="1028" t="s">
        <v>611</v>
      </c>
      <c r="AA8" s="1029"/>
      <c r="AB8" s="357">
        <v>0.26819999999999999</v>
      </c>
    </row>
    <row r="9" spans="1:28" ht="24" customHeight="1" x14ac:dyDescent="0.25">
      <c r="A9" s="356" t="s">
        <v>0</v>
      </c>
      <c r="B9" s="967" t="s">
        <v>673</v>
      </c>
      <c r="C9" s="967"/>
      <c r="D9" s="967"/>
      <c r="E9" s="967"/>
      <c r="Z9" s="1028" t="s">
        <v>612</v>
      </c>
      <c r="AA9" s="1029"/>
      <c r="AB9" s="357">
        <v>3.1300000000000001E-2</v>
      </c>
    </row>
    <row r="10" spans="1:28" ht="33.75" customHeight="1" x14ac:dyDescent="0.25">
      <c r="A10" s="356" t="s">
        <v>2</v>
      </c>
      <c r="B10" s="1034" t="s">
        <v>674</v>
      </c>
      <c r="C10" s="1035"/>
      <c r="D10" s="1035"/>
      <c r="E10" s="1035"/>
      <c r="Z10" s="1028"/>
      <c r="AA10" s="1029"/>
      <c r="AB10" s="357"/>
    </row>
    <row r="11" spans="1:28" ht="15.75" x14ac:dyDescent="0.25">
      <c r="A11" s="356" t="s">
        <v>29</v>
      </c>
      <c r="B11" s="1034"/>
      <c r="C11" s="1035"/>
      <c r="D11" s="1035"/>
      <c r="E11" s="1035"/>
      <c r="Z11" s="1028" t="s">
        <v>613</v>
      </c>
      <c r="AA11" s="1029"/>
      <c r="AB11" s="357">
        <v>0.26819999999999999</v>
      </c>
    </row>
    <row r="12" spans="1:28" ht="30" customHeight="1" x14ac:dyDescent="0.25">
      <c r="A12" s="356" t="s">
        <v>14</v>
      </c>
      <c r="B12" s="1010" t="s">
        <v>339</v>
      </c>
      <c r="C12" s="1010"/>
      <c r="D12" s="1010"/>
      <c r="E12" s="1010"/>
      <c r="Z12" s="1028" t="s">
        <v>614</v>
      </c>
      <c r="AA12" s="1029"/>
      <c r="AB12" s="357">
        <v>1.18E-2</v>
      </c>
    </row>
    <row r="13" spans="1:28" ht="30" customHeight="1" x14ac:dyDescent="0.25">
      <c r="A13" s="356" t="s">
        <v>3</v>
      </c>
      <c r="B13" s="1011"/>
      <c r="C13" s="1011"/>
      <c r="D13" s="1011"/>
      <c r="E13" s="1011"/>
      <c r="Z13" s="1028" t="s">
        <v>615</v>
      </c>
      <c r="AA13" s="1029"/>
      <c r="AB13" s="358">
        <v>0.36854545454545451</v>
      </c>
    </row>
    <row r="14" spans="1:28" ht="30" customHeight="1" x14ac:dyDescent="0.25">
      <c r="A14" s="356" t="s">
        <v>15</v>
      </c>
      <c r="B14" s="1010" t="s">
        <v>1305</v>
      </c>
      <c r="C14" s="1010"/>
      <c r="D14" s="1010"/>
      <c r="E14" s="1010"/>
      <c r="Z14" s="1028" t="s">
        <v>616</v>
      </c>
      <c r="AA14" s="1029"/>
      <c r="AB14" s="357">
        <v>0.26819999999999999</v>
      </c>
    </row>
    <row r="15" spans="1:28" ht="30" customHeight="1" x14ac:dyDescent="0.25">
      <c r="A15" s="356" t="s">
        <v>4</v>
      </c>
      <c r="B15" s="1010">
        <v>2020</v>
      </c>
      <c r="C15" s="1010"/>
      <c r="D15" s="1010"/>
      <c r="E15" s="1010"/>
      <c r="Z15" s="1028" t="s">
        <v>578</v>
      </c>
      <c r="AA15" s="1029"/>
      <c r="AB15" s="357">
        <v>0.27700000000000002</v>
      </c>
    </row>
    <row r="16" spans="1:28" ht="30" customHeight="1" x14ac:dyDescent="0.25">
      <c r="A16" s="356" t="s">
        <v>5</v>
      </c>
      <c r="B16" s="1010">
        <v>2030</v>
      </c>
      <c r="C16" s="1010"/>
      <c r="D16" s="1010"/>
      <c r="E16" s="1010"/>
      <c r="Z16" s="1028" t="s">
        <v>579</v>
      </c>
      <c r="AA16" s="1029"/>
      <c r="AB16" s="357">
        <v>0.20269999999999999</v>
      </c>
    </row>
    <row r="17" spans="1:11" ht="30" customHeight="1" x14ac:dyDescent="0.25">
      <c r="A17" s="356" t="s">
        <v>6</v>
      </c>
      <c r="B17" s="1000">
        <v>200000</v>
      </c>
      <c r="C17" s="1000"/>
      <c r="D17" s="1000"/>
      <c r="E17" s="1000"/>
    </row>
    <row r="18" spans="1:11" ht="30" customHeight="1" x14ac:dyDescent="0.25">
      <c r="A18" s="356" t="s">
        <v>7</v>
      </c>
      <c r="B18" s="1000">
        <f>B17*0.3</f>
        <v>60000</v>
      </c>
      <c r="C18" s="1000"/>
      <c r="D18" s="1000"/>
      <c r="E18" s="1000"/>
      <c r="J18" s="52"/>
      <c r="K18" s="52"/>
    </row>
    <row r="19" spans="1:11" ht="30" customHeight="1" x14ac:dyDescent="0.25">
      <c r="A19" s="99" t="s">
        <v>307</v>
      </c>
      <c r="B19" s="1117">
        <f>I15*10</f>
        <v>0</v>
      </c>
      <c r="C19" s="1117"/>
      <c r="D19" s="1117"/>
      <c r="E19" s="1117"/>
    </row>
    <row r="20" spans="1:11" ht="30" customHeight="1" x14ac:dyDescent="0.25">
      <c r="A20" s="96" t="s">
        <v>306</v>
      </c>
      <c r="B20" s="1115">
        <f>G25*H25</f>
        <v>0</v>
      </c>
      <c r="C20" s="1115"/>
      <c r="D20" s="1115"/>
      <c r="E20" s="1115"/>
      <c r="I20" s="6">
        <v>24</v>
      </c>
    </row>
    <row r="21" spans="1:11" ht="30" customHeight="1" x14ac:dyDescent="0.25">
      <c r="A21" s="356" t="s">
        <v>8</v>
      </c>
      <c r="B21" s="1000">
        <v>1</v>
      </c>
      <c r="C21" s="1000"/>
      <c r="D21" s="1000"/>
      <c r="E21" s="1000"/>
    </row>
    <row r="22" spans="1:11" ht="30" customHeight="1" x14ac:dyDescent="0.25">
      <c r="A22" s="356" t="s">
        <v>9</v>
      </c>
      <c r="B22" s="1010"/>
      <c r="C22" s="1010"/>
      <c r="D22" s="1010"/>
      <c r="E22" s="1010"/>
    </row>
    <row r="23" spans="1:11" ht="30" customHeight="1" x14ac:dyDescent="0.25">
      <c r="A23" s="356" t="s">
        <v>301</v>
      </c>
      <c r="B23" s="1016">
        <f>B17/(B21+B22)</f>
        <v>200000</v>
      </c>
      <c r="C23" s="1016"/>
      <c r="D23" s="1016"/>
      <c r="E23" s="1016"/>
    </row>
    <row r="24" spans="1:11" ht="30" customHeight="1" x14ac:dyDescent="0.25">
      <c r="A24" s="356" t="s">
        <v>302</v>
      </c>
      <c r="B24" s="1184">
        <f>(B17-B18)/(B21+B22)</f>
        <v>140000</v>
      </c>
      <c r="C24" s="1184"/>
      <c r="D24" s="1184"/>
      <c r="E24" s="1184"/>
    </row>
    <row r="25" spans="1:11" ht="30" customHeight="1" x14ac:dyDescent="0.25">
      <c r="A25" s="100" t="s">
        <v>305</v>
      </c>
      <c r="B25" s="1080">
        <f>B19*L11/1000</f>
        <v>0</v>
      </c>
      <c r="C25" s="1080"/>
      <c r="D25" s="1080"/>
      <c r="E25" s="108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26" priority="1" operator="containsText" text="Terminé">
      <formula>NOT(ISERROR(SEARCH("Terminé",B5)))</formula>
    </cfRule>
    <cfRule type="containsText" dxfId="25" priority="2" operator="containsText" text="En cours">
      <formula>NOT(ISERROR(SEARCH("En cours",B5)))</formula>
    </cfRule>
    <cfRule type="containsText" dxfId="2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4"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626</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73" t="s">
        <v>1</v>
      </c>
      <c r="B8" s="967" t="s">
        <v>651</v>
      </c>
      <c r="C8" s="967"/>
      <c r="D8" s="967"/>
      <c r="E8" s="967"/>
      <c r="Z8" s="1028" t="s">
        <v>611</v>
      </c>
      <c r="AA8" s="1029"/>
      <c r="AB8" s="357">
        <v>0.26819999999999999</v>
      </c>
    </row>
    <row r="9" spans="1:28" ht="24" customHeight="1" x14ac:dyDescent="0.25">
      <c r="A9" s="373" t="s">
        <v>0</v>
      </c>
      <c r="B9" s="1183" t="s">
        <v>652</v>
      </c>
      <c r="C9" s="1183"/>
      <c r="D9" s="1183"/>
      <c r="E9" s="1183"/>
      <c r="Z9" s="1028" t="s">
        <v>612</v>
      </c>
      <c r="AA9" s="1029"/>
      <c r="AB9" s="357">
        <v>3.1300000000000001E-2</v>
      </c>
    </row>
    <row r="10" spans="1:28" ht="33.75" customHeight="1" x14ac:dyDescent="0.25">
      <c r="A10" s="373" t="s">
        <v>2</v>
      </c>
      <c r="B10" s="1034"/>
      <c r="C10" s="1035"/>
      <c r="D10" s="1035"/>
      <c r="E10" s="1035"/>
      <c r="Z10" s="1028"/>
      <c r="AA10" s="1029"/>
      <c r="AB10" s="357"/>
    </row>
    <row r="11" spans="1:28" ht="15.75" x14ac:dyDescent="0.25">
      <c r="A11" s="373" t="s">
        <v>29</v>
      </c>
      <c r="B11" s="1034" t="s">
        <v>1308</v>
      </c>
      <c r="C11" s="1035"/>
      <c r="D11" s="1035"/>
      <c r="E11" s="1035"/>
      <c r="Z11" s="1028" t="s">
        <v>613</v>
      </c>
      <c r="AA11" s="1029"/>
      <c r="AB11" s="357">
        <v>0.26819999999999999</v>
      </c>
    </row>
    <row r="12" spans="1:28" ht="30" customHeight="1" x14ac:dyDescent="0.25">
      <c r="A12" s="373" t="s">
        <v>14</v>
      </c>
      <c r="B12" s="1010" t="s">
        <v>339</v>
      </c>
      <c r="C12" s="1010"/>
      <c r="D12" s="1010"/>
      <c r="E12" s="1010"/>
      <c r="Z12" s="1028" t="s">
        <v>614</v>
      </c>
      <c r="AA12" s="1029"/>
      <c r="AB12" s="357">
        <v>1.18E-2</v>
      </c>
    </row>
    <row r="13" spans="1:28" ht="30" customHeight="1" x14ac:dyDescent="0.25">
      <c r="A13" s="373" t="s">
        <v>3</v>
      </c>
      <c r="B13" s="1011"/>
      <c r="C13" s="1011"/>
      <c r="D13" s="1011"/>
      <c r="E13" s="1011"/>
      <c r="Z13" s="1028" t="s">
        <v>615</v>
      </c>
      <c r="AA13" s="1029"/>
      <c r="AB13" s="358">
        <v>0.36854545454545451</v>
      </c>
    </row>
    <row r="14" spans="1:28" ht="30" customHeight="1" x14ac:dyDescent="0.25">
      <c r="A14" s="373" t="s">
        <v>15</v>
      </c>
      <c r="B14" s="1010" t="s">
        <v>1305</v>
      </c>
      <c r="C14" s="1010"/>
      <c r="D14" s="1010"/>
      <c r="E14" s="1010"/>
      <c r="Z14" s="1028" t="s">
        <v>616</v>
      </c>
      <c r="AA14" s="1029"/>
      <c r="AB14" s="357">
        <v>0.26819999999999999</v>
      </c>
    </row>
    <row r="15" spans="1:28" ht="30" customHeight="1" x14ac:dyDescent="0.25">
      <c r="A15" s="373" t="s">
        <v>4</v>
      </c>
      <c r="B15" s="1010">
        <v>2012</v>
      </c>
      <c r="C15" s="1010"/>
      <c r="D15" s="1010"/>
      <c r="E15" s="1010"/>
      <c r="Z15" s="1028" t="s">
        <v>578</v>
      </c>
      <c r="AA15" s="1029"/>
      <c r="AB15" s="357">
        <v>0.27700000000000002</v>
      </c>
    </row>
    <row r="16" spans="1:28" ht="30" customHeight="1" x14ac:dyDescent="0.25">
      <c r="A16" s="373" t="s">
        <v>5</v>
      </c>
      <c r="B16" s="1010">
        <v>2030</v>
      </c>
      <c r="C16" s="1010"/>
      <c r="D16" s="1010"/>
      <c r="E16" s="1010"/>
      <c r="Z16" s="1028" t="s">
        <v>579</v>
      </c>
      <c r="AA16" s="1029"/>
      <c r="AB16" s="357">
        <v>0.20269999999999999</v>
      </c>
    </row>
    <row r="17" spans="1:11" ht="30" customHeight="1" x14ac:dyDescent="0.25">
      <c r="A17" s="373" t="s">
        <v>6</v>
      </c>
      <c r="B17" s="1000">
        <v>500000</v>
      </c>
      <c r="C17" s="1000"/>
      <c r="D17" s="1000"/>
      <c r="E17" s="1000"/>
    </row>
    <row r="18" spans="1:11" ht="30" customHeight="1" x14ac:dyDescent="0.25">
      <c r="A18" s="373" t="s">
        <v>7</v>
      </c>
      <c r="B18" s="1000">
        <v>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73" t="s">
        <v>8</v>
      </c>
      <c r="B21" s="1000">
        <v>1</v>
      </c>
      <c r="C21" s="1000"/>
      <c r="D21" s="1000"/>
      <c r="E21" s="1000"/>
    </row>
    <row r="22" spans="1:11" ht="30" customHeight="1" x14ac:dyDescent="0.25">
      <c r="A22" s="373" t="s">
        <v>9</v>
      </c>
      <c r="B22" s="1000">
        <f>B20/1000*M11</f>
        <v>0</v>
      </c>
      <c r="C22" s="1000"/>
      <c r="D22" s="1000"/>
      <c r="E22" s="1000"/>
    </row>
    <row r="23" spans="1:11" ht="30" customHeight="1" x14ac:dyDescent="0.25">
      <c r="A23" s="373" t="s">
        <v>301</v>
      </c>
      <c r="B23" s="1016">
        <f>B17/(B21+B22)</f>
        <v>500000</v>
      </c>
      <c r="C23" s="1016"/>
      <c r="D23" s="1016"/>
      <c r="E23" s="1016"/>
    </row>
    <row r="24" spans="1:11" ht="30" customHeight="1" x14ac:dyDescent="0.25">
      <c r="A24" s="373" t="s">
        <v>302</v>
      </c>
      <c r="B24" s="1017">
        <f>(B17-B18)/(B21+B22)</f>
        <v>500000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23" priority="1" operator="containsText" text="Terminé">
      <formula>NOT(ISERROR(SEARCH("Terminé",B5)))</formula>
    </cfRule>
    <cfRule type="containsText" dxfId="22" priority="2" operator="containsText" text="En cours">
      <formula>NOT(ISERROR(SEARCH("En cours",B5)))</formula>
    </cfRule>
    <cfRule type="containsText" dxfId="2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4" zoomScale="145" zoomScaleNormal="145" workbookViewId="0">
      <selection activeCell="B14" sqref="B14:E14"/>
    </sheetView>
  </sheetViews>
  <sheetFormatPr baseColWidth="10" defaultColWidth="11.42578125" defaultRowHeight="15" x14ac:dyDescent="0.25"/>
  <cols>
    <col min="1" max="1" width="40.7109375" style="7" customWidth="1"/>
    <col min="2" max="2" width="16.7109375" style="7" customWidth="1"/>
    <col min="3" max="3" width="18.7109375" style="7" customWidth="1"/>
    <col min="4" max="4" width="5.7109375" style="7" customWidth="1"/>
    <col min="5" max="5" width="18.7109375" style="7" customWidth="1"/>
    <col min="6" max="6" width="1.5703125" style="7" customWidth="1"/>
    <col min="7" max="16384" width="11.42578125" style="7"/>
  </cols>
  <sheetData>
    <row r="1" spans="1:28" ht="26.25" x14ac:dyDescent="0.4">
      <c r="A1" s="1001" t="s">
        <v>937</v>
      </c>
      <c r="B1" s="1001"/>
      <c r="C1" s="1001"/>
      <c r="D1" s="1001"/>
      <c r="E1" s="1001"/>
      <c r="F1" s="276"/>
    </row>
    <row r="2" spans="1:28" ht="19.5" customHeight="1" x14ac:dyDescent="0.25">
      <c r="A2" s="412" t="s">
        <v>750</v>
      </c>
      <c r="B2" s="1002" t="s">
        <v>123</v>
      </c>
      <c r="C2" s="1002"/>
      <c r="D2" s="1002"/>
      <c r="E2" s="1002"/>
      <c r="G2" s="986" t="s">
        <v>751</v>
      </c>
      <c r="H2" s="986"/>
    </row>
    <row r="3" spans="1:28" ht="19.5" customHeight="1" x14ac:dyDescent="0.25">
      <c r="A3" s="409" t="s">
        <v>743</v>
      </c>
      <c r="B3" s="987" t="s">
        <v>744</v>
      </c>
      <c r="C3" s="987"/>
      <c r="D3" s="987"/>
      <c r="E3" s="987"/>
      <c r="G3" s="986" t="s">
        <v>752</v>
      </c>
      <c r="H3" s="986"/>
    </row>
    <row r="4" spans="1:28" ht="19.5" customHeight="1" x14ac:dyDescent="0.25">
      <c r="A4" s="403" t="s">
        <v>292</v>
      </c>
      <c r="B4" s="996" t="s">
        <v>380</v>
      </c>
      <c r="C4" s="996"/>
      <c r="D4" s="996"/>
      <c r="E4" s="996"/>
      <c r="G4" s="986" t="s">
        <v>753</v>
      </c>
      <c r="H4" s="986"/>
    </row>
    <row r="5" spans="1:28" ht="19.5" customHeight="1" x14ac:dyDescent="0.25">
      <c r="A5" s="403" t="s">
        <v>16</v>
      </c>
      <c r="B5" s="1015" t="s">
        <v>17</v>
      </c>
      <c r="C5" s="1015"/>
      <c r="D5" s="1015"/>
      <c r="E5" s="1015"/>
      <c r="G5" s="986" t="s">
        <v>754</v>
      </c>
      <c r="H5" s="986"/>
      <c r="Z5" s="1023" t="s">
        <v>609</v>
      </c>
      <c r="AA5" s="1024"/>
      <c r="AB5" s="1025"/>
    </row>
    <row r="6" spans="1:28" ht="19.5" customHeight="1" x14ac:dyDescent="0.25">
      <c r="A6" s="413" t="s">
        <v>474</v>
      </c>
      <c r="B6" s="993" t="s">
        <v>45</v>
      </c>
      <c r="C6" s="993"/>
      <c r="D6" s="993"/>
      <c r="E6" s="993"/>
      <c r="G6" s="986" t="s">
        <v>755</v>
      </c>
      <c r="H6" s="986"/>
      <c r="Z6" s="1026"/>
      <c r="AA6" s="1027"/>
      <c r="AB6" s="357" t="s">
        <v>610</v>
      </c>
    </row>
    <row r="7" spans="1:28" ht="19.5" customHeight="1" x14ac:dyDescent="0.25">
      <c r="A7" s="253" t="s">
        <v>475</v>
      </c>
      <c r="B7" s="994" t="s">
        <v>608</v>
      </c>
      <c r="C7" s="994"/>
      <c r="D7" s="994"/>
      <c r="E7" s="994"/>
      <c r="G7" s="995" t="s">
        <v>756</v>
      </c>
      <c r="H7" s="995"/>
      <c r="I7" s="400"/>
      <c r="J7" s="400"/>
      <c r="Z7" s="401"/>
      <c r="AA7" s="402"/>
      <c r="AB7" s="357"/>
    </row>
    <row r="8" spans="1:28" ht="24" customHeight="1" x14ac:dyDescent="0.25">
      <c r="A8" s="105" t="s">
        <v>1</v>
      </c>
      <c r="B8" s="967" t="s">
        <v>430</v>
      </c>
      <c r="C8" s="967"/>
      <c r="D8" s="967"/>
      <c r="E8" s="967"/>
      <c r="G8" s="997" t="s">
        <v>936</v>
      </c>
      <c r="Z8" s="1028" t="s">
        <v>611</v>
      </c>
      <c r="AA8" s="1029"/>
      <c r="AB8" s="357">
        <v>0.26819999999999999</v>
      </c>
    </row>
    <row r="9" spans="1:28" ht="24" customHeight="1" x14ac:dyDescent="0.25">
      <c r="A9" s="105" t="s">
        <v>0</v>
      </c>
      <c r="B9" s="967" t="s">
        <v>431</v>
      </c>
      <c r="C9" s="967"/>
      <c r="D9" s="967"/>
      <c r="E9" s="967"/>
      <c r="G9" s="997"/>
      <c r="Z9" s="1028" t="s">
        <v>612</v>
      </c>
      <c r="AA9" s="1029"/>
      <c r="AB9" s="357">
        <v>3.1300000000000001E-2</v>
      </c>
    </row>
    <row r="10" spans="1:28" ht="63.75" customHeight="1" x14ac:dyDescent="0.25">
      <c r="A10" s="105" t="s">
        <v>2</v>
      </c>
      <c r="B10" s="1031" t="s">
        <v>852</v>
      </c>
      <c r="C10" s="1032"/>
      <c r="D10" s="1032"/>
      <c r="E10" s="1033"/>
      <c r="G10" s="997"/>
      <c r="Z10" s="1028"/>
      <c r="AA10" s="1029"/>
      <c r="AB10" s="357"/>
    </row>
    <row r="11" spans="1:28" ht="78.75" customHeight="1" x14ac:dyDescent="0.25">
      <c r="A11" s="105" t="s">
        <v>29</v>
      </c>
      <c r="B11" s="998" t="s">
        <v>853</v>
      </c>
      <c r="C11" s="998"/>
      <c r="D11" s="998"/>
      <c r="E11" s="998"/>
      <c r="G11" s="254">
        <v>5000</v>
      </c>
      <c r="H11" s="139" t="s">
        <v>25</v>
      </c>
      <c r="Z11" s="1028" t="s">
        <v>613</v>
      </c>
      <c r="AA11" s="1029"/>
      <c r="AB11" s="357">
        <v>0.26819999999999999</v>
      </c>
    </row>
    <row r="12" spans="1:28" ht="30" customHeight="1" x14ac:dyDescent="0.25">
      <c r="A12" s="105" t="s">
        <v>14</v>
      </c>
      <c r="B12" s="1010" t="s">
        <v>939</v>
      </c>
      <c r="C12" s="1010"/>
      <c r="D12" s="1010"/>
      <c r="E12" s="1010"/>
      <c r="G12" s="225"/>
      <c r="H12" s="139" t="s">
        <v>7</v>
      </c>
      <c r="Z12" s="1028" t="s">
        <v>614</v>
      </c>
      <c r="AA12" s="1029"/>
      <c r="AB12" s="357">
        <v>1.18E-2</v>
      </c>
    </row>
    <row r="13" spans="1:28" ht="30" customHeight="1" x14ac:dyDescent="0.25">
      <c r="A13" s="105" t="s">
        <v>3</v>
      </c>
      <c r="B13" s="1011" t="s">
        <v>943</v>
      </c>
      <c r="C13" s="1011"/>
      <c r="D13" s="1011"/>
      <c r="E13" s="1011"/>
      <c r="Z13" s="1028" t="s">
        <v>615</v>
      </c>
      <c r="AA13" s="1029"/>
      <c r="AB13" s="358">
        <v>0.36854545454545451</v>
      </c>
    </row>
    <row r="14" spans="1:28" ht="30" customHeight="1" x14ac:dyDescent="0.25">
      <c r="A14" s="105" t="s">
        <v>15</v>
      </c>
      <c r="B14" s="1011"/>
      <c r="C14" s="1011"/>
      <c r="D14" s="1011"/>
      <c r="E14" s="1011"/>
      <c r="Z14" s="1028" t="s">
        <v>616</v>
      </c>
      <c r="AA14" s="1029"/>
      <c r="AB14" s="357">
        <v>0.26819999999999999</v>
      </c>
    </row>
    <row r="15" spans="1:28" ht="30" customHeight="1" x14ac:dyDescent="0.25">
      <c r="A15" s="105" t="s">
        <v>4</v>
      </c>
      <c r="B15" s="1011">
        <v>2020</v>
      </c>
      <c r="C15" s="1011"/>
      <c r="D15" s="1011"/>
      <c r="E15" s="1011"/>
      <c r="Z15" s="1028" t="s">
        <v>578</v>
      </c>
      <c r="AA15" s="1029"/>
      <c r="AB15" s="357">
        <v>0.27700000000000002</v>
      </c>
    </row>
    <row r="16" spans="1:28" ht="30" customHeight="1" x14ac:dyDescent="0.25">
      <c r="A16" s="105" t="s">
        <v>5</v>
      </c>
      <c r="B16" s="1011">
        <v>2030</v>
      </c>
      <c r="C16" s="1011"/>
      <c r="D16" s="1011"/>
      <c r="E16" s="1011"/>
      <c r="Z16" s="1028" t="s">
        <v>579</v>
      </c>
      <c r="AA16" s="1029"/>
      <c r="AB16" s="357">
        <v>0.20269999999999999</v>
      </c>
    </row>
    <row r="17" spans="1:9" ht="30" customHeight="1" x14ac:dyDescent="0.25">
      <c r="A17" s="105" t="s">
        <v>6</v>
      </c>
      <c r="B17" s="1012">
        <f>SUM(G11:L11)</f>
        <v>5000</v>
      </c>
      <c r="C17" s="1012"/>
      <c r="D17" s="1012"/>
      <c r="E17" s="1012"/>
    </row>
    <row r="18" spans="1:9" ht="30" customHeight="1" x14ac:dyDescent="0.25">
      <c r="A18" s="174" t="s">
        <v>7</v>
      </c>
      <c r="B18" s="1012">
        <f>SUM(G12:L12)</f>
        <v>0</v>
      </c>
      <c r="C18" s="1012"/>
      <c r="D18" s="1012"/>
      <c r="E18" s="1012"/>
    </row>
    <row r="19" spans="1:9" ht="30" customHeight="1" x14ac:dyDescent="0.25">
      <c r="A19" s="106" t="s">
        <v>307</v>
      </c>
      <c r="B19" s="1013"/>
      <c r="C19" s="1014"/>
      <c r="D19" s="1014"/>
      <c r="E19" s="1014"/>
    </row>
    <row r="20" spans="1:9" ht="30" customHeight="1" x14ac:dyDescent="0.25">
      <c r="A20" s="97" t="s">
        <v>306</v>
      </c>
      <c r="B20" s="1006">
        <f>G17*0.85</f>
        <v>0</v>
      </c>
      <c r="C20" s="1007"/>
      <c r="D20" s="1007"/>
      <c r="E20" s="1007"/>
    </row>
    <row r="21" spans="1:9" ht="30" customHeight="1" x14ac:dyDescent="0.25">
      <c r="A21" s="174" t="s">
        <v>8</v>
      </c>
      <c r="B21" s="1000">
        <v>1</v>
      </c>
      <c r="C21" s="1000"/>
      <c r="D21" s="1000"/>
      <c r="E21" s="1000"/>
    </row>
    <row r="22" spans="1:9" ht="30" customHeight="1" x14ac:dyDescent="0.25">
      <c r="A22" s="174" t="s">
        <v>9</v>
      </c>
      <c r="B22" s="1000"/>
      <c r="C22" s="1000"/>
      <c r="D22" s="1000"/>
      <c r="E22" s="1000"/>
    </row>
    <row r="23" spans="1:9" ht="30" customHeight="1" x14ac:dyDescent="0.25">
      <c r="A23" s="174" t="s">
        <v>301</v>
      </c>
      <c r="B23" s="1016">
        <f>B17/(B21+B22)</f>
        <v>5000</v>
      </c>
      <c r="C23" s="1016"/>
      <c r="D23" s="1016"/>
      <c r="E23" s="1016"/>
    </row>
    <row r="24" spans="1:9" ht="30" customHeight="1" x14ac:dyDescent="0.25">
      <c r="A24" s="174" t="s">
        <v>302</v>
      </c>
      <c r="B24" s="1017">
        <f>(B17-B18)/(B21+B22)</f>
        <v>5000</v>
      </c>
      <c r="C24" s="1017"/>
      <c r="D24" s="1017"/>
      <c r="E24" s="1017"/>
    </row>
    <row r="25" spans="1:9" ht="30" customHeight="1" x14ac:dyDescent="0.25">
      <c r="A25" s="100" t="s">
        <v>305</v>
      </c>
      <c r="B25" s="1030">
        <f>B20*G25/1000</f>
        <v>0</v>
      </c>
      <c r="C25" s="1030"/>
      <c r="D25" s="1030"/>
      <c r="E25" s="1030"/>
    </row>
    <row r="26" spans="1:9" ht="30" customHeight="1" x14ac:dyDescent="0.25">
      <c r="A26" s="101" t="s">
        <v>303</v>
      </c>
      <c r="B26" s="1019">
        <f>B25/'Objectifs CO2'!C11</f>
        <v>0</v>
      </c>
      <c r="C26" s="1019"/>
      <c r="D26" s="1019"/>
      <c r="E26" s="1019"/>
    </row>
    <row r="27" spans="1:9" ht="30" customHeight="1" x14ac:dyDescent="0.25">
      <c r="A27" s="101" t="s">
        <v>304</v>
      </c>
      <c r="B27" s="1020">
        <f>B25/'Objectifs CO2'!C4</f>
        <v>0</v>
      </c>
      <c r="C27" s="1021"/>
      <c r="D27" s="1021"/>
      <c r="E27" s="1021"/>
    </row>
    <row r="28" spans="1:9" ht="30" customHeight="1" x14ac:dyDescent="0.25">
      <c r="A28" s="101" t="s">
        <v>22</v>
      </c>
      <c r="B28" s="999"/>
      <c r="C28" s="999"/>
      <c r="D28" s="999"/>
      <c r="E28" s="999"/>
    </row>
    <row r="29" spans="1:9" ht="30" customHeight="1" x14ac:dyDescent="0.25">
      <c r="A29" s="101" t="s">
        <v>257</v>
      </c>
      <c r="B29" s="999" t="s">
        <v>259</v>
      </c>
      <c r="C29" s="999"/>
      <c r="D29" s="999"/>
      <c r="E29" s="999"/>
    </row>
    <row r="31" spans="1:9" x14ac:dyDescent="0.25">
      <c r="A31" s="603" t="s">
        <v>1065</v>
      </c>
      <c r="B31" s="1003" t="s">
        <v>675</v>
      </c>
      <c r="C31" s="1003"/>
      <c r="D31" s="1003"/>
      <c r="E31" s="56" t="s">
        <v>676</v>
      </c>
      <c r="F31" s="6"/>
      <c r="G31" s="6"/>
      <c r="H31" s="6"/>
      <c r="I31" s="6"/>
    </row>
    <row r="32" spans="1:9"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B43" s="6"/>
      <c r="C43" s="6"/>
      <c r="D43" s="6"/>
      <c r="E43" s="94" t="s">
        <v>730</v>
      </c>
      <c r="F43" s="6"/>
      <c r="G43" s="6"/>
      <c r="H43" s="6"/>
      <c r="I43" s="6"/>
    </row>
    <row r="44" spans="1:12" x14ac:dyDescent="0.25">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t="s">
        <v>972</v>
      </c>
      <c r="C52" s="1022"/>
      <c r="D52" s="1022"/>
      <c r="E52" s="1022"/>
      <c r="F52" s="1022"/>
      <c r="G52" s="1022"/>
      <c r="H52" s="1022"/>
      <c r="I52" s="1022"/>
      <c r="J52" s="1022"/>
      <c r="K52" s="1022"/>
      <c r="L52" s="1022"/>
    </row>
    <row r="53" spans="1:12" x14ac:dyDescent="0.25">
      <c r="A53" s="959"/>
      <c r="B53" s="1022" t="s">
        <v>973</v>
      </c>
      <c r="C53" s="1022"/>
      <c r="D53" s="1022"/>
      <c r="E53" s="1022"/>
      <c r="F53" s="1022"/>
      <c r="G53" s="1022"/>
      <c r="H53" s="1022"/>
      <c r="I53" s="1022"/>
      <c r="J53" s="1022"/>
      <c r="K53" s="1022"/>
      <c r="L53" s="1022"/>
    </row>
    <row r="54" spans="1:12" x14ac:dyDescent="0.25">
      <c r="A54" s="959"/>
      <c r="B54" s="1022" t="s">
        <v>974</v>
      </c>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0:E20"/>
    <mergeCell ref="B9:E9"/>
    <mergeCell ref="B10:E10"/>
    <mergeCell ref="B11:E11"/>
    <mergeCell ref="B12:E12"/>
    <mergeCell ref="B13:E13"/>
    <mergeCell ref="B19:E19"/>
    <mergeCell ref="B17:E17"/>
    <mergeCell ref="B18:E18"/>
    <mergeCell ref="B16:E16"/>
    <mergeCell ref="B27:E27"/>
    <mergeCell ref="B28:E28"/>
    <mergeCell ref="B29:E29"/>
    <mergeCell ref="B21:E21"/>
    <mergeCell ref="B22:E22"/>
    <mergeCell ref="B23:E23"/>
    <mergeCell ref="B24:E24"/>
    <mergeCell ref="B25:E25"/>
    <mergeCell ref="B26:E26"/>
    <mergeCell ref="Z5:AB5"/>
    <mergeCell ref="Z6:AA6"/>
    <mergeCell ref="Z8:AA8"/>
    <mergeCell ref="Z9:AA9"/>
    <mergeCell ref="Z10:AA10"/>
    <mergeCell ref="Z16:AA16"/>
    <mergeCell ref="Z11:AA11"/>
    <mergeCell ref="Z12:AA12"/>
    <mergeCell ref="Z13:AA13"/>
    <mergeCell ref="Z14:AA14"/>
    <mergeCell ref="Z15:AA15"/>
    <mergeCell ref="B42:D42"/>
    <mergeCell ref="B44:D44"/>
    <mergeCell ref="B37:D37"/>
    <mergeCell ref="B38:D38"/>
    <mergeCell ref="B39:D39"/>
    <mergeCell ref="B40:D40"/>
    <mergeCell ref="B41:D41"/>
    <mergeCell ref="B7:E7"/>
    <mergeCell ref="G7:H7"/>
    <mergeCell ref="B31:D31"/>
    <mergeCell ref="B32:D32"/>
    <mergeCell ref="G32:I32"/>
    <mergeCell ref="B33:D33"/>
    <mergeCell ref="H33:I33"/>
    <mergeCell ref="G40:I40"/>
    <mergeCell ref="B34:D34"/>
    <mergeCell ref="H34:I34"/>
    <mergeCell ref="B35:D35"/>
    <mergeCell ref="H35:I35"/>
    <mergeCell ref="B36:D36"/>
    <mergeCell ref="B8:E8"/>
    <mergeCell ref="G8:G10"/>
    <mergeCell ref="B14:E14"/>
    <mergeCell ref="B15:E15"/>
    <mergeCell ref="A1:E1"/>
    <mergeCell ref="B2:E2"/>
    <mergeCell ref="G2:H2"/>
    <mergeCell ref="B3:E3"/>
    <mergeCell ref="G3:H3"/>
    <mergeCell ref="G4:H4"/>
    <mergeCell ref="G5:H5"/>
    <mergeCell ref="G6:H6"/>
    <mergeCell ref="B4:E4"/>
    <mergeCell ref="B5:E5"/>
    <mergeCell ref="B6:E6"/>
  </mergeCells>
  <conditionalFormatting sqref="B5">
    <cfRule type="containsText" dxfId="371" priority="1" operator="containsText" text="Terminé">
      <formula>NOT(ISERROR(SEARCH("Terminé",B5)))</formula>
    </cfRule>
    <cfRule type="containsText" dxfId="370" priority="2" operator="containsText" text="En cours">
      <formula>NOT(ISERROR(SEARCH("En cours",B5)))</formula>
    </cfRule>
    <cfRule type="containsText" dxfId="36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627</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73" t="s">
        <v>1</v>
      </c>
      <c r="B8" s="967" t="s">
        <v>633</v>
      </c>
      <c r="C8" s="967"/>
      <c r="D8" s="967"/>
      <c r="E8" s="967"/>
      <c r="Z8" s="1028" t="s">
        <v>611</v>
      </c>
      <c r="AA8" s="1029"/>
      <c r="AB8" s="357">
        <v>0.26819999999999999</v>
      </c>
    </row>
    <row r="9" spans="1:28" ht="24" customHeight="1" x14ac:dyDescent="0.25">
      <c r="A9" s="373" t="s">
        <v>0</v>
      </c>
      <c r="B9" s="1183" t="s">
        <v>636</v>
      </c>
      <c r="C9" s="1183"/>
      <c r="D9" s="1183"/>
      <c r="E9" s="1183"/>
      <c r="Z9" s="1028" t="s">
        <v>612</v>
      </c>
      <c r="AA9" s="1029"/>
      <c r="AB9" s="357">
        <v>3.1300000000000001E-2</v>
      </c>
    </row>
    <row r="10" spans="1:28" ht="33.75" customHeight="1" x14ac:dyDescent="0.25">
      <c r="A10" s="373" t="s">
        <v>2</v>
      </c>
      <c r="B10" s="1034" t="s">
        <v>637</v>
      </c>
      <c r="C10" s="1035"/>
      <c r="D10" s="1035"/>
      <c r="E10" s="1035"/>
      <c r="Z10" s="1028"/>
      <c r="AA10" s="1029"/>
      <c r="AB10" s="357"/>
    </row>
    <row r="11" spans="1:28" ht="15.75" x14ac:dyDescent="0.25">
      <c r="A11" s="373" t="s">
        <v>29</v>
      </c>
      <c r="B11" s="1034"/>
      <c r="C11" s="1035"/>
      <c r="D11" s="1035"/>
      <c r="E11" s="1035"/>
      <c r="Z11" s="1028" t="s">
        <v>613</v>
      </c>
      <c r="AA11" s="1029"/>
      <c r="AB11" s="357">
        <v>0.26819999999999999</v>
      </c>
    </row>
    <row r="12" spans="1:28" ht="30" customHeight="1" x14ac:dyDescent="0.25">
      <c r="A12" s="373" t="s">
        <v>14</v>
      </c>
      <c r="B12" s="1010" t="s">
        <v>939</v>
      </c>
      <c r="C12" s="1010"/>
      <c r="D12" s="1010"/>
      <c r="E12" s="1010"/>
      <c r="Z12" s="1028" t="s">
        <v>614</v>
      </c>
      <c r="AA12" s="1029"/>
      <c r="AB12" s="357">
        <v>1.18E-2</v>
      </c>
    </row>
    <row r="13" spans="1:28" ht="30" customHeight="1" x14ac:dyDescent="0.25">
      <c r="A13" s="373" t="s">
        <v>3</v>
      </c>
      <c r="B13" s="1011" t="s">
        <v>943</v>
      </c>
      <c r="C13" s="1011"/>
      <c r="D13" s="1011"/>
      <c r="E13" s="1011"/>
      <c r="Z13" s="1028" t="s">
        <v>615</v>
      </c>
      <c r="AA13" s="1029"/>
      <c r="AB13" s="358">
        <v>0.36854545454545451</v>
      </c>
    </row>
    <row r="14" spans="1:28" ht="30" customHeight="1" x14ac:dyDescent="0.25">
      <c r="A14" s="373" t="s">
        <v>15</v>
      </c>
      <c r="B14" s="1010"/>
      <c r="C14" s="1010"/>
      <c r="D14" s="1010"/>
      <c r="E14" s="1010"/>
      <c r="Z14" s="1028" t="s">
        <v>616</v>
      </c>
      <c r="AA14" s="1029"/>
      <c r="AB14" s="357">
        <v>0.26819999999999999</v>
      </c>
    </row>
    <row r="15" spans="1:28" ht="30" customHeight="1" x14ac:dyDescent="0.25">
      <c r="A15" s="373" t="s">
        <v>4</v>
      </c>
      <c r="B15" s="1010">
        <v>2012</v>
      </c>
      <c r="C15" s="1010"/>
      <c r="D15" s="1010"/>
      <c r="E15" s="1010"/>
      <c r="Z15" s="1028" t="s">
        <v>578</v>
      </c>
      <c r="AA15" s="1029"/>
      <c r="AB15" s="357">
        <v>0.27700000000000002</v>
      </c>
    </row>
    <row r="16" spans="1:28" ht="30" customHeight="1" x14ac:dyDescent="0.25">
      <c r="A16" s="373" t="s">
        <v>5</v>
      </c>
      <c r="B16" s="1010">
        <v>2012</v>
      </c>
      <c r="C16" s="1010"/>
      <c r="D16" s="1010"/>
      <c r="E16" s="1010"/>
      <c r="Z16" s="1028" t="s">
        <v>579</v>
      </c>
      <c r="AA16" s="1029"/>
      <c r="AB16" s="357">
        <v>0.20269999999999999</v>
      </c>
    </row>
    <row r="17" spans="1:11" ht="30" customHeight="1" x14ac:dyDescent="0.25">
      <c r="A17" s="373" t="s">
        <v>6</v>
      </c>
      <c r="B17" s="1000">
        <v>0</v>
      </c>
      <c r="C17" s="1000"/>
      <c r="D17" s="1000"/>
      <c r="E17" s="1000"/>
    </row>
    <row r="18" spans="1:11" ht="30" customHeight="1" x14ac:dyDescent="0.25">
      <c r="A18" s="373" t="s">
        <v>7</v>
      </c>
      <c r="B18" s="1000">
        <v>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73" t="s">
        <v>8</v>
      </c>
      <c r="B21" s="1000">
        <v>1</v>
      </c>
      <c r="C21" s="1000"/>
      <c r="D21" s="1000"/>
      <c r="E21" s="1000"/>
    </row>
    <row r="22" spans="1:11" ht="30" customHeight="1" x14ac:dyDescent="0.25">
      <c r="A22" s="373" t="s">
        <v>9</v>
      </c>
      <c r="B22" s="1000">
        <f>B20/1000*M11</f>
        <v>0</v>
      </c>
      <c r="C22" s="1000"/>
      <c r="D22" s="1000"/>
      <c r="E22" s="1000"/>
    </row>
    <row r="23" spans="1:11" ht="30" customHeight="1" x14ac:dyDescent="0.25">
      <c r="A23" s="373" t="s">
        <v>301</v>
      </c>
      <c r="B23" s="1016">
        <f>B17/(B21+B22)</f>
        <v>0</v>
      </c>
      <c r="C23" s="1016"/>
      <c r="D23" s="1016"/>
      <c r="E23" s="1016"/>
    </row>
    <row r="24" spans="1:11" ht="30" customHeight="1" x14ac:dyDescent="0.25">
      <c r="A24" s="373" t="s">
        <v>302</v>
      </c>
      <c r="B24" s="1017">
        <f>(B17-B18)/(B21+B22)</f>
        <v>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20" priority="1" operator="containsText" text="Terminé">
      <formula>NOT(ISERROR(SEARCH("Terminé",B5)))</formula>
    </cfRule>
    <cfRule type="containsText" dxfId="19" priority="2" operator="containsText" text="En cours">
      <formula>NOT(ISERROR(SEARCH("En cours",B5)))</formula>
    </cfRule>
    <cfRule type="containsText" dxfId="1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B16" sqref="B16:E1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628</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73" t="s">
        <v>1</v>
      </c>
      <c r="B8" s="967" t="s">
        <v>633</v>
      </c>
      <c r="C8" s="967"/>
      <c r="D8" s="967"/>
      <c r="E8" s="967"/>
      <c r="Z8" s="1028" t="s">
        <v>611</v>
      </c>
      <c r="AA8" s="1029"/>
      <c r="AB8" s="357">
        <v>0.26819999999999999</v>
      </c>
    </row>
    <row r="9" spans="1:28" ht="24" customHeight="1" x14ac:dyDescent="0.25">
      <c r="A9" s="373" t="s">
        <v>0</v>
      </c>
      <c r="B9" s="1183" t="s">
        <v>634</v>
      </c>
      <c r="C9" s="1183"/>
      <c r="D9" s="1183"/>
      <c r="E9" s="1183"/>
      <c r="Z9" s="1028" t="s">
        <v>612</v>
      </c>
      <c r="AA9" s="1029"/>
      <c r="AB9" s="357">
        <v>3.1300000000000001E-2</v>
      </c>
    </row>
    <row r="10" spans="1:28" ht="33.75" customHeight="1" x14ac:dyDescent="0.25">
      <c r="A10" s="373" t="s">
        <v>2</v>
      </c>
      <c r="B10" s="1034" t="s">
        <v>635</v>
      </c>
      <c r="C10" s="1035"/>
      <c r="D10" s="1035"/>
      <c r="E10" s="1035"/>
      <c r="Z10" s="1028"/>
      <c r="AA10" s="1029"/>
      <c r="AB10" s="357"/>
    </row>
    <row r="11" spans="1:28" ht="15.75" x14ac:dyDescent="0.25">
      <c r="A11" s="373" t="s">
        <v>29</v>
      </c>
      <c r="B11" s="1034"/>
      <c r="C11" s="1035"/>
      <c r="D11" s="1035"/>
      <c r="E11" s="1035"/>
      <c r="Z11" s="1028" t="s">
        <v>613</v>
      </c>
      <c r="AA11" s="1029"/>
      <c r="AB11" s="357">
        <v>0.26819999999999999</v>
      </c>
    </row>
    <row r="12" spans="1:28" ht="30" customHeight="1" x14ac:dyDescent="0.25">
      <c r="A12" s="373" t="s">
        <v>14</v>
      </c>
      <c r="B12" s="1010" t="s">
        <v>939</v>
      </c>
      <c r="C12" s="1010"/>
      <c r="D12" s="1010"/>
      <c r="E12" s="1010"/>
      <c r="Z12" s="1028" t="s">
        <v>614</v>
      </c>
      <c r="AA12" s="1029"/>
      <c r="AB12" s="357">
        <v>1.18E-2</v>
      </c>
    </row>
    <row r="13" spans="1:28" ht="30" customHeight="1" x14ac:dyDescent="0.25">
      <c r="A13" s="373" t="s">
        <v>3</v>
      </c>
      <c r="B13" s="1011" t="s">
        <v>943</v>
      </c>
      <c r="C13" s="1011"/>
      <c r="D13" s="1011"/>
      <c r="E13" s="1011"/>
      <c r="Z13" s="1028" t="s">
        <v>615</v>
      </c>
      <c r="AA13" s="1029"/>
      <c r="AB13" s="358">
        <v>0.36854545454545451</v>
      </c>
    </row>
    <row r="14" spans="1:28" ht="30" customHeight="1" x14ac:dyDescent="0.25">
      <c r="A14" s="373" t="s">
        <v>15</v>
      </c>
      <c r="B14" s="1010"/>
      <c r="C14" s="1010"/>
      <c r="D14" s="1010"/>
      <c r="E14" s="1010"/>
      <c r="Z14" s="1028" t="s">
        <v>616</v>
      </c>
      <c r="AA14" s="1029"/>
      <c r="AB14" s="357">
        <v>0.26819999999999999</v>
      </c>
    </row>
    <row r="15" spans="1:28" ht="30" customHeight="1" x14ac:dyDescent="0.25">
      <c r="A15" s="373" t="s">
        <v>4</v>
      </c>
      <c r="B15" s="1010">
        <v>2012</v>
      </c>
      <c r="C15" s="1010"/>
      <c r="D15" s="1010"/>
      <c r="E15" s="1010"/>
      <c r="Z15" s="1028" t="s">
        <v>578</v>
      </c>
      <c r="AA15" s="1029"/>
      <c r="AB15" s="357">
        <v>0.27700000000000002</v>
      </c>
    </row>
    <row r="16" spans="1:28" ht="30" customHeight="1" x14ac:dyDescent="0.25">
      <c r="A16" s="373" t="s">
        <v>5</v>
      </c>
      <c r="B16" s="1010">
        <v>2012</v>
      </c>
      <c r="C16" s="1010"/>
      <c r="D16" s="1010"/>
      <c r="E16" s="1010"/>
      <c r="Z16" s="1028" t="s">
        <v>579</v>
      </c>
      <c r="AA16" s="1029"/>
      <c r="AB16" s="357">
        <v>0.20269999999999999</v>
      </c>
    </row>
    <row r="17" spans="1:11" ht="30" customHeight="1" x14ac:dyDescent="0.25">
      <c r="A17" s="373" t="s">
        <v>6</v>
      </c>
      <c r="B17" s="1000">
        <v>0</v>
      </c>
      <c r="C17" s="1000"/>
      <c r="D17" s="1000"/>
      <c r="E17" s="1000"/>
    </row>
    <row r="18" spans="1:11" ht="30" customHeight="1" x14ac:dyDescent="0.25">
      <c r="A18" s="373" t="s">
        <v>7</v>
      </c>
      <c r="B18" s="1000">
        <v>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73" t="s">
        <v>8</v>
      </c>
      <c r="B21" s="1000">
        <v>1</v>
      </c>
      <c r="C21" s="1000"/>
      <c r="D21" s="1000"/>
      <c r="E21" s="1000"/>
    </row>
    <row r="22" spans="1:11" ht="30" customHeight="1" x14ac:dyDescent="0.25">
      <c r="A22" s="373" t="s">
        <v>9</v>
      </c>
      <c r="B22" s="1000">
        <f>B20/1000*M11</f>
        <v>0</v>
      </c>
      <c r="C22" s="1000"/>
      <c r="D22" s="1000"/>
      <c r="E22" s="1000"/>
    </row>
    <row r="23" spans="1:11" ht="30" customHeight="1" x14ac:dyDescent="0.25">
      <c r="A23" s="373" t="s">
        <v>301</v>
      </c>
      <c r="B23" s="1016">
        <f>B17/(B21+B22)</f>
        <v>0</v>
      </c>
      <c r="C23" s="1016"/>
      <c r="D23" s="1016"/>
      <c r="E23" s="1016"/>
    </row>
    <row r="24" spans="1:11" ht="30" customHeight="1" x14ac:dyDescent="0.25">
      <c r="A24" s="373" t="s">
        <v>302</v>
      </c>
      <c r="B24" s="1017">
        <f>(B17-B18)/(B21+B22)</f>
        <v>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17" priority="1" operator="containsText" text="Terminé">
      <formula>NOT(ISERROR(SEARCH("Terminé",B5)))</formula>
    </cfRule>
    <cfRule type="containsText" dxfId="16" priority="2" operator="containsText" text="En cours">
      <formula>NOT(ISERROR(SEARCH("En cours",B5)))</formula>
    </cfRule>
    <cfRule type="containsText" dxfId="1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B12" sqref="B12:E1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629</v>
      </c>
      <c r="C2" s="1182"/>
      <c r="D2" s="1182"/>
      <c r="E2" s="1182"/>
      <c r="F2" s="7"/>
      <c r="G2" s="986" t="s">
        <v>751</v>
      </c>
      <c r="H2" s="986"/>
    </row>
    <row r="3" spans="1:28" ht="19.5" customHeight="1" x14ac:dyDescent="0.25">
      <c r="A3" s="409" t="s">
        <v>743</v>
      </c>
      <c r="B3" s="987" t="s">
        <v>765</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1174" t="s">
        <v>666</v>
      </c>
      <c r="C8" s="1175"/>
      <c r="D8" s="1175"/>
      <c r="E8" s="1176"/>
      <c r="Z8" s="1028" t="s">
        <v>611</v>
      </c>
      <c r="AA8" s="1029"/>
      <c r="AB8" s="357">
        <v>0.26819999999999999</v>
      </c>
    </row>
    <row r="9" spans="1:28" ht="24" customHeight="1" x14ac:dyDescent="0.25">
      <c r="A9" s="356" t="s">
        <v>0</v>
      </c>
      <c r="B9" s="1185" t="s">
        <v>667</v>
      </c>
      <c r="C9" s="1186"/>
      <c r="D9" s="1186"/>
      <c r="E9" s="1187"/>
      <c r="Z9" s="1028" t="s">
        <v>612</v>
      </c>
      <c r="AA9" s="1029"/>
      <c r="AB9" s="357">
        <v>3.1300000000000001E-2</v>
      </c>
    </row>
    <row r="10" spans="1:28" ht="51" customHeight="1" x14ac:dyDescent="0.25">
      <c r="A10" s="356" t="s">
        <v>2</v>
      </c>
      <c r="B10" s="1031" t="s">
        <v>668</v>
      </c>
      <c r="C10" s="1032"/>
      <c r="D10" s="1032"/>
      <c r="E10" s="1033"/>
      <c r="Z10" s="1028"/>
      <c r="AA10" s="1029"/>
      <c r="AB10" s="357"/>
    </row>
    <row r="11" spans="1:28" ht="15.75" x14ac:dyDescent="0.25">
      <c r="A11" s="356" t="s">
        <v>29</v>
      </c>
      <c r="B11" s="1031"/>
      <c r="C11" s="1032"/>
      <c r="D11" s="1032"/>
      <c r="E11" s="1033"/>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v>2012</v>
      </c>
      <c r="C15" s="1010"/>
      <c r="D15" s="1010"/>
      <c r="E15" s="1010"/>
      <c r="Z15" s="1028" t="s">
        <v>578</v>
      </c>
      <c r="AA15" s="1029"/>
      <c r="AB15" s="357">
        <v>0.27700000000000002</v>
      </c>
    </row>
    <row r="16" spans="1:28" ht="30" customHeight="1" x14ac:dyDescent="0.25">
      <c r="A16" s="356" t="s">
        <v>5</v>
      </c>
      <c r="B16" s="1010">
        <v>2030</v>
      </c>
      <c r="C16" s="1010"/>
      <c r="D16" s="1010"/>
      <c r="E16" s="1010"/>
      <c r="Z16" s="1028" t="s">
        <v>579</v>
      </c>
      <c r="AA16" s="1029"/>
      <c r="AB16" s="357">
        <v>0.20269999999999999</v>
      </c>
    </row>
    <row r="17" spans="1:11" ht="30" customHeight="1" x14ac:dyDescent="0.25">
      <c r="A17" s="356" t="s">
        <v>6</v>
      </c>
      <c r="B17" s="1000">
        <v>500000</v>
      </c>
      <c r="C17" s="1000"/>
      <c r="D17" s="1000"/>
      <c r="E17" s="1000"/>
    </row>
    <row r="18" spans="1:11" ht="30" customHeight="1" x14ac:dyDescent="0.25">
      <c r="A18" s="356" t="s">
        <v>7</v>
      </c>
      <c r="B18" s="1000">
        <v>200000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500000</v>
      </c>
      <c r="C23" s="1016"/>
      <c r="D23" s="1016"/>
      <c r="E23" s="1016"/>
    </row>
    <row r="24" spans="1:11" ht="30" customHeight="1" x14ac:dyDescent="0.25">
      <c r="A24" s="356" t="s">
        <v>302</v>
      </c>
      <c r="B24" s="1017">
        <f>(B17-B18)/(B21+B22)</f>
        <v>300000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14" priority="1" operator="containsText" text="Terminé">
      <formula>NOT(ISERROR(SEARCH("Terminé",B5)))</formula>
    </cfRule>
    <cfRule type="containsText" dxfId="13" priority="2" operator="containsText" text="En cours">
      <formula>NOT(ISERROR(SEARCH("En cours",B5)))</formula>
    </cfRule>
    <cfRule type="containsText" dxfId="1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784</v>
      </c>
      <c r="C2" s="1182"/>
      <c r="D2" s="1182"/>
      <c r="E2" s="1182"/>
      <c r="F2" s="7"/>
      <c r="G2" s="986" t="s">
        <v>751</v>
      </c>
      <c r="H2" s="986"/>
    </row>
    <row r="3" spans="1:28" ht="19.5" customHeight="1" x14ac:dyDescent="0.25">
      <c r="A3" s="409" t="s">
        <v>743</v>
      </c>
      <c r="B3" s="987" t="s">
        <v>769</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663</v>
      </c>
      <c r="C8" s="967"/>
      <c r="D8" s="967"/>
      <c r="E8" s="967"/>
      <c r="Z8" s="1028" t="s">
        <v>611</v>
      </c>
      <c r="AA8" s="1029"/>
      <c r="AB8" s="357">
        <v>0.26819999999999999</v>
      </c>
    </row>
    <row r="9" spans="1:28" ht="24" customHeight="1" x14ac:dyDescent="0.25">
      <c r="A9" s="356" t="s">
        <v>0</v>
      </c>
      <c r="B9" s="1183" t="s">
        <v>664</v>
      </c>
      <c r="C9" s="1183"/>
      <c r="D9" s="1183"/>
      <c r="E9" s="1183"/>
      <c r="Z9" s="1028" t="s">
        <v>612</v>
      </c>
      <c r="AA9" s="1029"/>
      <c r="AB9" s="357">
        <v>3.1300000000000001E-2</v>
      </c>
    </row>
    <row r="10" spans="1:28" ht="33.75" customHeight="1" x14ac:dyDescent="0.25">
      <c r="A10" s="356" t="s">
        <v>2</v>
      </c>
      <c r="B10" s="1034"/>
      <c r="C10" s="1035"/>
      <c r="D10" s="1035"/>
      <c r="E10" s="1035"/>
      <c r="Z10" s="1028"/>
      <c r="AA10" s="1029"/>
      <c r="AB10" s="357"/>
    </row>
    <row r="11" spans="1:28" ht="15.75" x14ac:dyDescent="0.25">
      <c r="A11" s="356" t="s">
        <v>29</v>
      </c>
      <c r="B11" s="1034" t="s">
        <v>1309</v>
      </c>
      <c r="C11" s="1035"/>
      <c r="D11" s="1035"/>
      <c r="E11" s="1035"/>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v>2018</v>
      </c>
      <c r="C15" s="1010"/>
      <c r="D15" s="1010"/>
      <c r="E15" s="1010"/>
      <c r="Z15" s="1028" t="s">
        <v>578</v>
      </c>
      <c r="AA15" s="1029"/>
      <c r="AB15" s="357">
        <v>0.27700000000000002</v>
      </c>
    </row>
    <row r="16" spans="1:28" ht="30" customHeight="1" x14ac:dyDescent="0.25">
      <c r="A16" s="356" t="s">
        <v>5</v>
      </c>
      <c r="B16" s="1010">
        <v>2030</v>
      </c>
      <c r="C16" s="1010"/>
      <c r="D16" s="1010"/>
      <c r="E16" s="1010"/>
      <c r="Z16" s="1028" t="s">
        <v>579</v>
      </c>
      <c r="AA16" s="1029"/>
      <c r="AB16" s="357">
        <v>0.20269999999999999</v>
      </c>
    </row>
    <row r="17" spans="1:11" ht="30" customHeight="1" x14ac:dyDescent="0.25">
      <c r="A17" s="356" t="s">
        <v>6</v>
      </c>
      <c r="B17" s="1000">
        <v>100000</v>
      </c>
      <c r="C17" s="1000"/>
      <c r="D17" s="1000"/>
      <c r="E17" s="1000"/>
    </row>
    <row r="18" spans="1:11" ht="30" customHeight="1" x14ac:dyDescent="0.25">
      <c r="A18" s="356" t="s">
        <v>7</v>
      </c>
      <c r="B18" s="1000">
        <v>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100000</v>
      </c>
      <c r="C23" s="1016"/>
      <c r="D23" s="1016"/>
      <c r="E23" s="1016"/>
    </row>
    <row r="24" spans="1:11" ht="30" customHeight="1" x14ac:dyDescent="0.25">
      <c r="A24" s="356" t="s">
        <v>302</v>
      </c>
      <c r="B24" s="1017">
        <f>(B17-B18)/(B21+B22)</f>
        <v>100000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11" priority="1" operator="containsText" text="Terminé">
      <formula>NOT(ISERROR(SEARCH("Terminé",B5)))</formula>
    </cfRule>
    <cfRule type="containsText" dxfId="10" priority="2" operator="containsText" text="En cours">
      <formula>NOT(ISERROR(SEARCH("En cours",B5)))</formula>
    </cfRule>
    <cfRule type="containsText" dxfId="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783</v>
      </c>
      <c r="C2" s="1182"/>
      <c r="D2" s="1182"/>
      <c r="E2" s="1182"/>
      <c r="F2" s="7"/>
      <c r="G2" s="986" t="s">
        <v>751</v>
      </c>
      <c r="H2" s="986"/>
    </row>
    <row r="3" spans="1:28" ht="19.5" customHeight="1" x14ac:dyDescent="0.25">
      <c r="A3" s="409" t="s">
        <v>743</v>
      </c>
      <c r="B3" s="987" t="s">
        <v>769</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20</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660</v>
      </c>
      <c r="C8" s="967"/>
      <c r="D8" s="967"/>
      <c r="E8" s="967"/>
      <c r="Z8" s="1028" t="s">
        <v>611</v>
      </c>
      <c r="AA8" s="1029"/>
      <c r="AB8" s="357">
        <v>0.26819999999999999</v>
      </c>
    </row>
    <row r="9" spans="1:28" ht="24" customHeight="1" x14ac:dyDescent="0.25">
      <c r="A9" s="356" t="s">
        <v>0</v>
      </c>
      <c r="B9" s="1183" t="s">
        <v>661</v>
      </c>
      <c r="C9" s="1183"/>
      <c r="D9" s="1183"/>
      <c r="E9" s="1183"/>
      <c r="Z9" s="1028" t="s">
        <v>612</v>
      </c>
      <c r="AA9" s="1029"/>
      <c r="AB9" s="357">
        <v>3.1300000000000001E-2</v>
      </c>
    </row>
    <row r="10" spans="1:28" ht="51" customHeight="1" x14ac:dyDescent="0.25">
      <c r="A10" s="356" t="s">
        <v>2</v>
      </c>
      <c r="B10" s="1034" t="s">
        <v>662</v>
      </c>
      <c r="C10" s="1035"/>
      <c r="D10" s="1035"/>
      <c r="E10" s="1035"/>
      <c r="Z10" s="1028"/>
      <c r="AA10" s="1029"/>
      <c r="AB10" s="357"/>
    </row>
    <row r="11" spans="1:28" ht="15.75" x14ac:dyDescent="0.25">
      <c r="A11" s="356" t="s">
        <v>29</v>
      </c>
      <c r="B11" s="1034"/>
      <c r="C11" s="1035"/>
      <c r="D11" s="1035"/>
      <c r="E11" s="1035"/>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c r="C15" s="1010"/>
      <c r="D15" s="1010"/>
      <c r="E15" s="1010"/>
      <c r="Z15" s="1028" t="s">
        <v>578</v>
      </c>
      <c r="AA15" s="1029"/>
      <c r="AB15" s="357">
        <v>0.27700000000000002</v>
      </c>
    </row>
    <row r="16" spans="1:28" ht="30" customHeight="1" x14ac:dyDescent="0.25">
      <c r="A16" s="356" t="s">
        <v>5</v>
      </c>
      <c r="B16" s="1010"/>
      <c r="C16" s="1010"/>
      <c r="D16" s="1010"/>
      <c r="E16" s="1010"/>
      <c r="Z16" s="1028" t="s">
        <v>579</v>
      </c>
      <c r="AA16" s="1029"/>
      <c r="AB16" s="357">
        <v>0.20269999999999999</v>
      </c>
    </row>
    <row r="17" spans="1:11" ht="30" customHeight="1" x14ac:dyDescent="0.25">
      <c r="A17" s="356" t="s">
        <v>6</v>
      </c>
      <c r="B17" s="1000">
        <v>0</v>
      </c>
      <c r="C17" s="1000"/>
      <c r="D17" s="1000"/>
      <c r="E17" s="1000"/>
    </row>
    <row r="18" spans="1:11" ht="30" customHeight="1" x14ac:dyDescent="0.25">
      <c r="A18" s="356" t="s">
        <v>7</v>
      </c>
      <c r="B18" s="1000">
        <v>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0</v>
      </c>
      <c r="C23" s="1016"/>
      <c r="D23" s="1016"/>
      <c r="E23" s="1016"/>
    </row>
    <row r="24" spans="1:11" ht="30" customHeight="1" x14ac:dyDescent="0.25">
      <c r="A24" s="356" t="s">
        <v>302</v>
      </c>
      <c r="B24" s="1017">
        <f>(B17-B18)/(B21+B22)</f>
        <v>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8" priority="1" operator="containsText" text="Terminé">
      <formula>NOT(ISERROR(SEARCH("Terminé",B5)))</formula>
    </cfRule>
    <cfRule type="containsText" dxfId="7" priority="2" operator="containsText" text="En cours">
      <formula>NOT(ISERROR(SEARCH("En cours",B5)))</formula>
    </cfRule>
    <cfRule type="containsText" dxfId="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782</v>
      </c>
      <c r="C2" s="1182"/>
      <c r="D2" s="1182"/>
      <c r="E2" s="1182"/>
      <c r="F2" s="7"/>
      <c r="G2" s="986" t="s">
        <v>751</v>
      </c>
      <c r="H2" s="986"/>
    </row>
    <row r="3" spans="1:28" ht="19.5" customHeight="1" x14ac:dyDescent="0.25">
      <c r="A3" s="409" t="s">
        <v>743</v>
      </c>
      <c r="B3" s="987" t="s">
        <v>769</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56" t="s">
        <v>1</v>
      </c>
      <c r="B8" s="967" t="s">
        <v>644</v>
      </c>
      <c r="C8" s="967"/>
      <c r="D8" s="967"/>
      <c r="E8" s="967"/>
      <c r="Z8" s="1028" t="s">
        <v>611</v>
      </c>
      <c r="AA8" s="1029"/>
      <c r="AB8" s="357">
        <v>0.26819999999999999</v>
      </c>
    </row>
    <row r="9" spans="1:28" ht="24" customHeight="1" x14ac:dyDescent="0.25">
      <c r="A9" s="356" t="s">
        <v>0</v>
      </c>
      <c r="B9" s="1183" t="s">
        <v>645</v>
      </c>
      <c r="C9" s="1183"/>
      <c r="D9" s="1183"/>
      <c r="E9" s="1183"/>
      <c r="Z9" s="1028" t="s">
        <v>612</v>
      </c>
      <c r="AA9" s="1029"/>
      <c r="AB9" s="357">
        <v>3.1300000000000001E-2</v>
      </c>
    </row>
    <row r="10" spans="1:28" ht="33.75" customHeight="1" x14ac:dyDescent="0.25">
      <c r="A10" s="356" t="s">
        <v>2</v>
      </c>
      <c r="B10" s="1034"/>
      <c r="C10" s="1035"/>
      <c r="D10" s="1035"/>
      <c r="E10" s="1035"/>
      <c r="Z10" s="1028"/>
      <c r="AA10" s="1029"/>
      <c r="AB10" s="357"/>
    </row>
    <row r="11" spans="1:28" ht="15.75" x14ac:dyDescent="0.25">
      <c r="A11" s="356" t="s">
        <v>29</v>
      </c>
      <c r="B11" s="1034"/>
      <c r="C11" s="1035"/>
      <c r="D11" s="1035"/>
      <c r="E11" s="1035"/>
      <c r="Z11" s="1028" t="s">
        <v>613</v>
      </c>
      <c r="AA11" s="1029"/>
      <c r="AB11" s="357">
        <v>0.26819999999999999</v>
      </c>
    </row>
    <row r="12" spans="1:28" ht="30" customHeight="1" x14ac:dyDescent="0.25">
      <c r="A12" s="356" t="s">
        <v>14</v>
      </c>
      <c r="B12" s="1010" t="s">
        <v>939</v>
      </c>
      <c r="C12" s="1010"/>
      <c r="D12" s="1010"/>
      <c r="E12" s="1010"/>
      <c r="Z12" s="1028" t="s">
        <v>614</v>
      </c>
      <c r="AA12" s="1029"/>
      <c r="AB12" s="357">
        <v>1.18E-2</v>
      </c>
    </row>
    <row r="13" spans="1:28" ht="30" customHeight="1" x14ac:dyDescent="0.25">
      <c r="A13" s="356" t="s">
        <v>3</v>
      </c>
      <c r="B13" s="1011" t="s">
        <v>943</v>
      </c>
      <c r="C13" s="1011"/>
      <c r="D13" s="1011"/>
      <c r="E13" s="1011"/>
      <c r="Z13" s="1028" t="s">
        <v>615</v>
      </c>
      <c r="AA13" s="1029"/>
      <c r="AB13" s="358">
        <v>0.36854545454545451</v>
      </c>
    </row>
    <row r="14" spans="1:28" ht="30" customHeight="1" x14ac:dyDescent="0.25">
      <c r="A14" s="356" t="s">
        <v>15</v>
      </c>
      <c r="B14" s="1010"/>
      <c r="C14" s="1010"/>
      <c r="D14" s="1010"/>
      <c r="E14" s="1010"/>
      <c r="Z14" s="1028" t="s">
        <v>616</v>
      </c>
      <c r="AA14" s="1029"/>
      <c r="AB14" s="357">
        <v>0.26819999999999999</v>
      </c>
    </row>
    <row r="15" spans="1:28" ht="30" customHeight="1" x14ac:dyDescent="0.25">
      <c r="A15" s="356" t="s">
        <v>4</v>
      </c>
      <c r="B15" s="1010">
        <v>2012</v>
      </c>
      <c r="C15" s="1010"/>
      <c r="D15" s="1010"/>
      <c r="E15" s="1010"/>
      <c r="Z15" s="1028" t="s">
        <v>578</v>
      </c>
      <c r="AA15" s="1029"/>
      <c r="AB15" s="357">
        <v>0.27700000000000002</v>
      </c>
    </row>
    <row r="16" spans="1:28" ht="30" customHeight="1" x14ac:dyDescent="0.25">
      <c r="A16" s="356" t="s">
        <v>5</v>
      </c>
      <c r="B16" s="1010">
        <v>2030</v>
      </c>
      <c r="C16" s="1010"/>
      <c r="D16" s="1010"/>
      <c r="E16" s="1010"/>
      <c r="Z16" s="1028" t="s">
        <v>579</v>
      </c>
      <c r="AA16" s="1029"/>
      <c r="AB16" s="357">
        <v>0.20269999999999999</v>
      </c>
    </row>
    <row r="17" spans="1:11" ht="30" customHeight="1" x14ac:dyDescent="0.25">
      <c r="A17" s="356" t="s">
        <v>6</v>
      </c>
      <c r="B17" s="1000">
        <v>180000</v>
      </c>
      <c r="C17" s="1000"/>
      <c r="D17" s="1000"/>
      <c r="E17" s="1000"/>
    </row>
    <row r="18" spans="1:11" ht="30" customHeight="1" x14ac:dyDescent="0.25">
      <c r="A18" s="356" t="s">
        <v>7</v>
      </c>
      <c r="B18" s="1000">
        <v>0</v>
      </c>
      <c r="C18" s="1000"/>
      <c r="D18" s="1000"/>
      <c r="E18" s="1000"/>
      <c r="J18" s="52"/>
      <c r="K18" s="52"/>
    </row>
    <row r="19" spans="1:11" ht="30" customHeight="1" x14ac:dyDescent="0.25">
      <c r="A19" s="99" t="s">
        <v>307</v>
      </c>
      <c r="B19" s="1039"/>
      <c r="C19" s="1040"/>
      <c r="D19" s="1040"/>
      <c r="E19" s="1040"/>
    </row>
    <row r="20" spans="1:11" ht="30" customHeight="1" x14ac:dyDescent="0.25">
      <c r="A20" s="96" t="s">
        <v>306</v>
      </c>
      <c r="B20" s="1041">
        <f>G11*H11*I11*J11*K11</f>
        <v>0</v>
      </c>
      <c r="C20" s="1042"/>
      <c r="D20" s="1042"/>
      <c r="E20" s="1042"/>
      <c r="I20" s="6">
        <v>24</v>
      </c>
    </row>
    <row r="21" spans="1:11" ht="30" customHeight="1" x14ac:dyDescent="0.25">
      <c r="A21" s="356" t="s">
        <v>8</v>
      </c>
      <c r="B21" s="1000">
        <v>1</v>
      </c>
      <c r="C21" s="1000"/>
      <c r="D21" s="1000"/>
      <c r="E21" s="1000"/>
    </row>
    <row r="22" spans="1:11" ht="30" customHeight="1" x14ac:dyDescent="0.25">
      <c r="A22" s="356" t="s">
        <v>9</v>
      </c>
      <c r="B22" s="1000">
        <f>B20/1000*M11</f>
        <v>0</v>
      </c>
      <c r="C22" s="1000"/>
      <c r="D22" s="1000"/>
      <c r="E22" s="1000"/>
    </row>
    <row r="23" spans="1:11" ht="30" customHeight="1" x14ac:dyDescent="0.25">
      <c r="A23" s="356" t="s">
        <v>301</v>
      </c>
      <c r="B23" s="1016">
        <f>B17/(B21+B22)</f>
        <v>180000</v>
      </c>
      <c r="C23" s="1016"/>
      <c r="D23" s="1016"/>
      <c r="E23" s="1016"/>
    </row>
    <row r="24" spans="1:11" ht="30" customHeight="1" x14ac:dyDescent="0.25">
      <c r="A24" s="356" t="s">
        <v>302</v>
      </c>
      <c r="B24" s="1017">
        <f>(B17-B18)/(B21+B22)</f>
        <v>180000</v>
      </c>
      <c r="C24" s="1017"/>
      <c r="D24" s="1017"/>
      <c r="E24" s="1017"/>
    </row>
    <row r="25" spans="1:11" ht="30" customHeight="1" x14ac:dyDescent="0.25">
      <c r="A25" s="100" t="s">
        <v>305</v>
      </c>
      <c r="B25" s="1070">
        <f>B20/1000*L11</f>
        <v>0</v>
      </c>
      <c r="C25" s="1070"/>
      <c r="D25" s="1070"/>
      <c r="E25" s="107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3:AA13"/>
    <mergeCell ref="B14:E14"/>
    <mergeCell ref="Z14:AA14"/>
    <mergeCell ref="B15:E15"/>
    <mergeCell ref="Z15:AA15"/>
    <mergeCell ref="B16:E16"/>
    <mergeCell ref="Z16:AA16"/>
    <mergeCell ref="B17:E17"/>
    <mergeCell ref="B18:E18"/>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 ref="A1:E1"/>
    <mergeCell ref="B2:E2"/>
    <mergeCell ref="B31:D31"/>
    <mergeCell ref="B32:D32"/>
    <mergeCell ref="G32:I32"/>
    <mergeCell ref="B33:D33"/>
    <mergeCell ref="H33:I33"/>
    <mergeCell ref="G40:I40"/>
    <mergeCell ref="B34:D34"/>
    <mergeCell ref="H34:I34"/>
    <mergeCell ref="B35:D35"/>
    <mergeCell ref="H35:I35"/>
    <mergeCell ref="B36:D36"/>
    <mergeCell ref="B10:E10"/>
    <mergeCell ref="B20:E20"/>
    <mergeCell ref="B13:E13"/>
    <mergeCell ref="B19:E19"/>
    <mergeCell ref="B27:E27"/>
    <mergeCell ref="B28:E28"/>
    <mergeCell ref="B29:E29"/>
    <mergeCell ref="B21:E21"/>
    <mergeCell ref="B22:E22"/>
    <mergeCell ref="B23:E23"/>
    <mergeCell ref="B24:E24"/>
    <mergeCell ref="G2:H2"/>
    <mergeCell ref="B3:E3"/>
    <mergeCell ref="G3:H3"/>
    <mergeCell ref="B42:D42"/>
    <mergeCell ref="B44:D44"/>
    <mergeCell ref="B37:D37"/>
    <mergeCell ref="B38:D38"/>
    <mergeCell ref="B39:D39"/>
    <mergeCell ref="B40:D40"/>
    <mergeCell ref="B41:D41"/>
    <mergeCell ref="B25:E25"/>
    <mergeCell ref="B26:E26"/>
  </mergeCells>
  <conditionalFormatting sqref="B5">
    <cfRule type="containsText" dxfId="5" priority="1" operator="containsText" text="Terminé">
      <formula>NOT(ISERROR(SEARCH("Terminé",B5)))</formula>
    </cfRule>
    <cfRule type="containsText" dxfId="4" priority="2" operator="containsText" text="En cours">
      <formula>NOT(ISERROR(SEARCH("En cours",B5)))</formula>
    </cfRule>
    <cfRule type="containsText" dxfId="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7" t="s">
        <v>750</v>
      </c>
      <c r="B2" s="1182" t="s">
        <v>781</v>
      </c>
      <c r="C2" s="1182"/>
      <c r="D2" s="1182"/>
      <c r="E2" s="1182"/>
      <c r="F2" s="7"/>
      <c r="G2" s="986" t="s">
        <v>751</v>
      </c>
      <c r="H2" s="986"/>
    </row>
    <row r="3" spans="1:28" ht="19.5" customHeight="1" x14ac:dyDescent="0.25">
      <c r="A3" s="409" t="s">
        <v>743</v>
      </c>
      <c r="B3" s="987" t="s">
        <v>769</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395"/>
      <c r="J7" s="395"/>
      <c r="Z7" s="401"/>
      <c r="AA7" s="402"/>
      <c r="AB7" s="357"/>
    </row>
    <row r="8" spans="1:28" ht="24" customHeight="1" x14ac:dyDescent="0.25">
      <c r="A8" s="373" t="s">
        <v>1</v>
      </c>
      <c r="B8" s="967" t="s">
        <v>670</v>
      </c>
      <c r="C8" s="967"/>
      <c r="D8" s="967"/>
      <c r="E8" s="967"/>
      <c r="Z8" s="1028" t="s">
        <v>611</v>
      </c>
      <c r="AA8" s="1029"/>
      <c r="AB8" s="357">
        <v>0.26819999999999999</v>
      </c>
    </row>
    <row r="9" spans="1:28" ht="24" customHeight="1" x14ac:dyDescent="0.25">
      <c r="A9" s="373" t="s">
        <v>0</v>
      </c>
      <c r="B9" s="967" t="s">
        <v>671</v>
      </c>
      <c r="C9" s="967"/>
      <c r="D9" s="967"/>
      <c r="E9" s="967"/>
      <c r="Z9" s="1028" t="s">
        <v>612</v>
      </c>
      <c r="AA9" s="1029"/>
      <c r="AB9" s="357">
        <v>3.1300000000000001E-2</v>
      </c>
    </row>
    <row r="10" spans="1:28" ht="33.75" customHeight="1" x14ac:dyDescent="0.25">
      <c r="A10" s="373" t="s">
        <v>2</v>
      </c>
      <c r="B10" s="1034" t="s">
        <v>1311</v>
      </c>
      <c r="C10" s="1035"/>
      <c r="D10" s="1035"/>
      <c r="E10" s="1035"/>
      <c r="Z10" s="1028"/>
      <c r="AA10" s="1029"/>
      <c r="AB10" s="357"/>
    </row>
    <row r="11" spans="1:28" ht="15.75" x14ac:dyDescent="0.25">
      <c r="A11" s="373" t="s">
        <v>29</v>
      </c>
      <c r="B11" s="1034" t="s">
        <v>1310</v>
      </c>
      <c r="C11" s="1035"/>
      <c r="D11" s="1035"/>
      <c r="E11" s="1035"/>
      <c r="Z11" s="1028" t="s">
        <v>613</v>
      </c>
      <c r="AA11" s="1029"/>
      <c r="AB11" s="357">
        <v>0.26819999999999999</v>
      </c>
    </row>
    <row r="12" spans="1:28" ht="30" customHeight="1" x14ac:dyDescent="0.25">
      <c r="A12" s="373" t="s">
        <v>14</v>
      </c>
      <c r="B12" s="1010" t="s">
        <v>939</v>
      </c>
      <c r="C12" s="1010"/>
      <c r="D12" s="1010"/>
      <c r="E12" s="1010"/>
      <c r="Z12" s="1028" t="s">
        <v>614</v>
      </c>
      <c r="AA12" s="1029"/>
      <c r="AB12" s="357">
        <v>1.18E-2</v>
      </c>
    </row>
    <row r="13" spans="1:28" ht="30" customHeight="1" x14ac:dyDescent="0.25">
      <c r="A13" s="373" t="s">
        <v>3</v>
      </c>
      <c r="B13" s="1011" t="s">
        <v>943</v>
      </c>
      <c r="C13" s="1011"/>
      <c r="D13" s="1011"/>
      <c r="E13" s="1011"/>
      <c r="Z13" s="1028" t="s">
        <v>615</v>
      </c>
      <c r="AA13" s="1029"/>
      <c r="AB13" s="358">
        <v>0.36854545454545451</v>
      </c>
    </row>
    <row r="14" spans="1:28" ht="30" customHeight="1" x14ac:dyDescent="0.25">
      <c r="A14" s="373" t="s">
        <v>15</v>
      </c>
      <c r="B14" s="1010" t="s">
        <v>1312</v>
      </c>
      <c r="C14" s="1010"/>
      <c r="D14" s="1010"/>
      <c r="E14" s="1010"/>
      <c r="Z14" s="1028" t="s">
        <v>616</v>
      </c>
      <c r="AA14" s="1029"/>
      <c r="AB14" s="357">
        <v>0.26819999999999999</v>
      </c>
    </row>
    <row r="15" spans="1:28" ht="30" customHeight="1" x14ac:dyDescent="0.25">
      <c r="A15" s="373" t="s">
        <v>4</v>
      </c>
      <c r="B15" s="1010">
        <v>2012</v>
      </c>
      <c r="C15" s="1010"/>
      <c r="D15" s="1010"/>
      <c r="E15" s="1010"/>
      <c r="Z15" s="1028" t="s">
        <v>578</v>
      </c>
      <c r="AA15" s="1029"/>
      <c r="AB15" s="357">
        <v>0.27700000000000002</v>
      </c>
    </row>
    <row r="16" spans="1:28" ht="30" customHeight="1" x14ac:dyDescent="0.25">
      <c r="A16" s="373" t="s">
        <v>5</v>
      </c>
      <c r="B16" s="1010">
        <v>2030</v>
      </c>
      <c r="C16" s="1010"/>
      <c r="D16" s="1010"/>
      <c r="E16" s="1010"/>
      <c r="Z16" s="1028" t="s">
        <v>579</v>
      </c>
      <c r="AA16" s="1029"/>
      <c r="AB16" s="357">
        <v>0.20269999999999999</v>
      </c>
    </row>
    <row r="17" spans="1:11" ht="30" customHeight="1" x14ac:dyDescent="0.25">
      <c r="A17" s="373" t="s">
        <v>6</v>
      </c>
      <c r="B17" s="1000">
        <f>G15*H15</f>
        <v>0</v>
      </c>
      <c r="C17" s="1000"/>
      <c r="D17" s="1000"/>
      <c r="E17" s="1000"/>
    </row>
    <row r="18" spans="1:11" ht="30" customHeight="1" x14ac:dyDescent="0.25">
      <c r="A18" s="373" t="s">
        <v>7</v>
      </c>
      <c r="B18" s="1000">
        <f>B17*0.3</f>
        <v>0</v>
      </c>
      <c r="C18" s="1000"/>
      <c r="D18" s="1000"/>
      <c r="E18" s="1000"/>
      <c r="J18" s="52"/>
      <c r="K18" s="52"/>
    </row>
    <row r="19" spans="1:11" ht="30" customHeight="1" x14ac:dyDescent="0.25">
      <c r="A19" s="99" t="s">
        <v>307</v>
      </c>
      <c r="B19" s="1117">
        <f>I15*10</f>
        <v>0</v>
      </c>
      <c r="C19" s="1117"/>
      <c r="D19" s="1117"/>
      <c r="E19" s="1117"/>
    </row>
    <row r="20" spans="1:11" ht="30" customHeight="1" x14ac:dyDescent="0.25">
      <c r="A20" s="96" t="s">
        <v>306</v>
      </c>
      <c r="B20" s="1115">
        <f>G25*H25</f>
        <v>0</v>
      </c>
      <c r="C20" s="1115"/>
      <c r="D20" s="1115"/>
      <c r="E20" s="1115"/>
      <c r="I20" s="6">
        <v>24</v>
      </c>
    </row>
    <row r="21" spans="1:11" ht="30" customHeight="1" x14ac:dyDescent="0.25">
      <c r="A21" s="373" t="s">
        <v>8</v>
      </c>
      <c r="B21" s="1000">
        <v>1</v>
      </c>
      <c r="C21" s="1000"/>
      <c r="D21" s="1000"/>
      <c r="E21" s="1000"/>
    </row>
    <row r="22" spans="1:11" ht="30" customHeight="1" x14ac:dyDescent="0.25">
      <c r="A22" s="373" t="s">
        <v>9</v>
      </c>
      <c r="B22" s="1010"/>
      <c r="C22" s="1010"/>
      <c r="D22" s="1010"/>
      <c r="E22" s="1010"/>
    </row>
    <row r="23" spans="1:11" ht="30" customHeight="1" x14ac:dyDescent="0.25">
      <c r="A23" s="373" t="s">
        <v>301</v>
      </c>
      <c r="B23" s="1016">
        <f>B17/(B21+B22)</f>
        <v>0</v>
      </c>
      <c r="C23" s="1016"/>
      <c r="D23" s="1016"/>
      <c r="E23" s="1016"/>
    </row>
    <row r="24" spans="1:11" ht="30" customHeight="1" x14ac:dyDescent="0.25">
      <c r="A24" s="373" t="s">
        <v>302</v>
      </c>
      <c r="B24" s="1184">
        <f>(B17-B18)/(B21+B22)</f>
        <v>0</v>
      </c>
      <c r="C24" s="1184"/>
      <c r="D24" s="1184"/>
      <c r="E24" s="1184"/>
    </row>
    <row r="25" spans="1:11" ht="30" customHeight="1" x14ac:dyDescent="0.25">
      <c r="A25" s="100" t="s">
        <v>305</v>
      </c>
      <c r="B25" s="1080">
        <f>B19*L11/1000</f>
        <v>0</v>
      </c>
      <c r="C25" s="1080"/>
      <c r="D25" s="1080"/>
      <c r="E25" s="1080"/>
    </row>
    <row r="26" spans="1:11" ht="30" customHeight="1" x14ac:dyDescent="0.25">
      <c r="A26" s="101" t="s">
        <v>303</v>
      </c>
      <c r="B26" s="1058">
        <f>B25/'Objectifs CO2'!C11</f>
        <v>0</v>
      </c>
      <c r="C26" s="1058"/>
      <c r="D26" s="1058"/>
      <c r="E26" s="1058"/>
    </row>
    <row r="27" spans="1:11" ht="30" customHeight="1" x14ac:dyDescent="0.25">
      <c r="A27" s="101" t="s">
        <v>304</v>
      </c>
      <c r="B27" s="1056">
        <f>B25/'Objectifs CO2'!C4</f>
        <v>0</v>
      </c>
      <c r="C27" s="1057"/>
      <c r="D27" s="1057"/>
      <c r="E27" s="1057"/>
    </row>
    <row r="28" spans="1:11" ht="30" customHeight="1" x14ac:dyDescent="0.25">
      <c r="A28" s="101" t="s">
        <v>22</v>
      </c>
      <c r="B28" s="999"/>
      <c r="C28" s="999"/>
      <c r="D28" s="999"/>
      <c r="E28" s="999"/>
    </row>
    <row r="29" spans="1:11" ht="30" customHeight="1" x14ac:dyDescent="0.25">
      <c r="A29" s="101" t="s">
        <v>257</v>
      </c>
      <c r="B29" s="999"/>
      <c r="C29" s="999"/>
      <c r="D29" s="999"/>
      <c r="E29" s="999"/>
    </row>
    <row r="31" spans="1:11" x14ac:dyDescent="0.25">
      <c r="A31" s="603" t="s">
        <v>1065</v>
      </c>
      <c r="B31" s="1003" t="s">
        <v>675</v>
      </c>
      <c r="C31" s="1003"/>
      <c r="D31" s="1003"/>
      <c r="E31" s="56" t="s">
        <v>676</v>
      </c>
    </row>
    <row r="32" spans="1:11"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9:AA9"/>
    <mergeCell ref="G4:H4"/>
    <mergeCell ref="G5:H5"/>
    <mergeCell ref="Z5:AB5"/>
    <mergeCell ref="G6:H6"/>
    <mergeCell ref="Z6:AA6"/>
    <mergeCell ref="B8:E8"/>
    <mergeCell ref="Z8:AA8"/>
    <mergeCell ref="B4:E4"/>
    <mergeCell ref="B5:E5"/>
    <mergeCell ref="B6:E6"/>
    <mergeCell ref="B7:E7"/>
    <mergeCell ref="G7:H7"/>
    <mergeCell ref="G2:H2"/>
    <mergeCell ref="B3:E3"/>
    <mergeCell ref="G3:H3"/>
    <mergeCell ref="Z10:AA10"/>
    <mergeCell ref="B11:E11"/>
    <mergeCell ref="Z11:AA11"/>
    <mergeCell ref="B12:E12"/>
    <mergeCell ref="Z12:AA12"/>
    <mergeCell ref="B27:E27"/>
    <mergeCell ref="B13:E13"/>
    <mergeCell ref="Z13:AA13"/>
    <mergeCell ref="B14:E14"/>
    <mergeCell ref="Z14:AA14"/>
    <mergeCell ref="B15:E15"/>
    <mergeCell ref="Z15:AA15"/>
    <mergeCell ref="B26:E26"/>
    <mergeCell ref="B16:E16"/>
    <mergeCell ref="Z16:AA16"/>
    <mergeCell ref="B17:E17"/>
    <mergeCell ref="B18:E18"/>
    <mergeCell ref="B19:E19"/>
    <mergeCell ref="B20:E20"/>
    <mergeCell ref="B21:E21"/>
    <mergeCell ref="B22:E22"/>
    <mergeCell ref="G40:I40"/>
    <mergeCell ref="B33:D33"/>
    <mergeCell ref="H33:I33"/>
    <mergeCell ref="B34:D34"/>
    <mergeCell ref="H34:I34"/>
    <mergeCell ref="B35:D35"/>
    <mergeCell ref="H35:I35"/>
    <mergeCell ref="G32:I32"/>
    <mergeCell ref="B10:E10"/>
    <mergeCell ref="B28:E28"/>
    <mergeCell ref="B29:E29"/>
    <mergeCell ref="B42:D42"/>
    <mergeCell ref="B44:D44"/>
    <mergeCell ref="B36:D36"/>
    <mergeCell ref="B37:D37"/>
    <mergeCell ref="B38:D38"/>
    <mergeCell ref="B39:D39"/>
    <mergeCell ref="B40:D40"/>
    <mergeCell ref="B41:D41"/>
    <mergeCell ref="A1:E1"/>
    <mergeCell ref="B2:E2"/>
    <mergeCell ref="B23:E23"/>
    <mergeCell ref="B24:E24"/>
    <mergeCell ref="B25:E25"/>
    <mergeCell ref="B31:D31"/>
    <mergeCell ref="B32:D32"/>
    <mergeCell ref="B9:E9"/>
  </mergeCells>
  <conditionalFormatting sqref="B5">
    <cfRule type="containsText" dxfId="2" priority="1" operator="containsText" text="Terminé">
      <formula>NOT(ISERROR(SEARCH("Terminé",B5)))</formula>
    </cfRule>
    <cfRule type="containsText" dxfId="1" priority="2" operator="containsText" text="En cours">
      <formula>NOT(ISERROR(SEARCH("En cours",B5)))</formula>
    </cfRule>
    <cfRule type="containsText" dxfId="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C10"/>
  <sheetViews>
    <sheetView workbookViewId="0">
      <selection activeCell="C16" sqref="C16"/>
    </sheetView>
  </sheetViews>
  <sheetFormatPr baseColWidth="10" defaultRowHeight="15" x14ac:dyDescent="0.25"/>
  <sheetData>
    <row r="5" spans="3:3" ht="36" x14ac:dyDescent="0.55000000000000004">
      <c r="C5" s="951" t="s">
        <v>1313</v>
      </c>
    </row>
    <row r="6" spans="3:3" ht="36" x14ac:dyDescent="0.55000000000000004">
      <c r="C6" s="951" t="s">
        <v>1314</v>
      </c>
    </row>
    <row r="9" spans="3:3" ht="36" x14ac:dyDescent="0.55000000000000004">
      <c r="C9" s="951" t="s">
        <v>1316</v>
      </c>
    </row>
    <row r="10" spans="3:3" ht="36" x14ac:dyDescent="0.55000000000000004">
      <c r="C10" s="951" t="s">
        <v>1315</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A10" zoomScale="85" zoomScaleNormal="85" workbookViewId="0">
      <selection activeCell="B14" sqref="B14:E14"/>
    </sheetView>
  </sheetViews>
  <sheetFormatPr baseColWidth="10" defaultColWidth="11.42578125" defaultRowHeight="23.25" customHeight="1"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3.25" customHeight="1" x14ac:dyDescent="0.4">
      <c r="A1" s="1001" t="s">
        <v>937</v>
      </c>
      <c r="B1" s="1001"/>
      <c r="C1" s="1001"/>
      <c r="D1" s="1001"/>
      <c r="E1" s="1001"/>
      <c r="F1" s="276"/>
      <c r="G1" s="7"/>
      <c r="H1" s="7"/>
    </row>
    <row r="2" spans="1:28" ht="19.5" customHeight="1" x14ac:dyDescent="0.25">
      <c r="A2" s="412" t="s">
        <v>750</v>
      </c>
      <c r="B2" s="1002" t="s">
        <v>78</v>
      </c>
      <c r="C2" s="1002"/>
      <c r="D2" s="1002"/>
      <c r="E2" s="1002"/>
      <c r="F2" s="7"/>
      <c r="G2" s="986" t="s">
        <v>751</v>
      </c>
      <c r="H2" s="986"/>
    </row>
    <row r="3" spans="1:28" ht="19.5" customHeight="1" x14ac:dyDescent="0.25">
      <c r="A3" s="409" t="s">
        <v>743</v>
      </c>
      <c r="B3" s="987" t="s">
        <v>744</v>
      </c>
      <c r="C3" s="987"/>
      <c r="D3" s="987"/>
      <c r="E3" s="987"/>
      <c r="F3" s="7"/>
      <c r="G3" s="986" t="s">
        <v>752</v>
      </c>
      <c r="H3" s="986"/>
    </row>
    <row r="4" spans="1:28" ht="19.5" customHeight="1" x14ac:dyDescent="0.25">
      <c r="A4" s="403" t="s">
        <v>292</v>
      </c>
      <c r="B4" s="996" t="s">
        <v>37</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96" t="s">
        <v>437</v>
      </c>
      <c r="C8" s="996"/>
      <c r="D8" s="996"/>
      <c r="E8" s="996"/>
      <c r="G8" s="997" t="s">
        <v>936</v>
      </c>
      <c r="H8" s="7"/>
      <c r="I8" s="7"/>
      <c r="J8" s="7"/>
      <c r="K8" s="7"/>
      <c r="L8" s="7"/>
      <c r="M8" s="7"/>
      <c r="N8" s="7"/>
      <c r="Z8" s="1028" t="s">
        <v>611</v>
      </c>
      <c r="AA8" s="1029"/>
      <c r="AB8" s="357">
        <v>0.26819999999999999</v>
      </c>
    </row>
    <row r="9" spans="1:28" ht="24" customHeight="1" x14ac:dyDescent="0.25">
      <c r="A9" s="98" t="s">
        <v>0</v>
      </c>
      <c r="B9" s="996" t="s">
        <v>483</v>
      </c>
      <c r="C9" s="996"/>
      <c r="D9" s="996"/>
      <c r="E9" s="996"/>
      <c r="G9" s="997"/>
      <c r="H9" s="7"/>
      <c r="I9" s="7"/>
      <c r="J9" s="7"/>
      <c r="K9" s="7"/>
      <c r="L9" s="7"/>
      <c r="M9" s="7"/>
      <c r="N9" s="7"/>
      <c r="Z9" s="1028" t="s">
        <v>612</v>
      </c>
      <c r="AA9" s="1029"/>
      <c r="AB9" s="357">
        <v>3.1300000000000001E-2</v>
      </c>
    </row>
    <row r="10" spans="1:28" ht="77.25" customHeight="1" x14ac:dyDescent="0.25">
      <c r="A10" s="102" t="s">
        <v>2</v>
      </c>
      <c r="B10" s="1034" t="s">
        <v>963</v>
      </c>
      <c r="C10" s="1034"/>
      <c r="D10" s="1034"/>
      <c r="E10" s="1034"/>
      <c r="G10" s="1038"/>
      <c r="H10" s="7"/>
      <c r="I10" s="57" t="s">
        <v>477</v>
      </c>
      <c r="J10" s="57" t="s">
        <v>478</v>
      </c>
      <c r="K10" s="57" t="s">
        <v>119</v>
      </c>
      <c r="L10" s="57" t="s">
        <v>476</v>
      </c>
      <c r="M10" s="58" t="s">
        <v>479</v>
      </c>
      <c r="N10" s="58" t="s">
        <v>480</v>
      </c>
      <c r="O10" s="58" t="s">
        <v>481</v>
      </c>
      <c r="P10" s="58" t="s">
        <v>482</v>
      </c>
      <c r="Z10" s="1028"/>
      <c r="AA10" s="1029"/>
      <c r="AB10" s="357"/>
    </row>
    <row r="11" spans="1:28" ht="54" customHeight="1" x14ac:dyDescent="0.2">
      <c r="A11" s="102" t="s">
        <v>29</v>
      </c>
      <c r="B11" s="1035"/>
      <c r="C11" s="1035"/>
      <c r="D11" s="1035"/>
      <c r="E11" s="1035"/>
      <c r="G11" s="225">
        <v>10000</v>
      </c>
      <c r="H11" s="225" t="s">
        <v>25</v>
      </c>
      <c r="I11" s="492">
        <f>SUM(G13:L13)</f>
        <v>64343.88</v>
      </c>
      <c r="J11" s="57">
        <f>SUM(G14:L14)</f>
        <v>76669.006838053116</v>
      </c>
      <c r="K11" s="57">
        <f>AB15</f>
        <v>0.27700000000000002</v>
      </c>
      <c r="L11" s="57">
        <f>AB8</f>
        <v>0.26819999999999999</v>
      </c>
      <c r="M11" s="58">
        <v>0.2</v>
      </c>
      <c r="N11" s="58">
        <v>0.2</v>
      </c>
      <c r="O11" s="58">
        <v>0.2</v>
      </c>
      <c r="P11" s="58">
        <v>0.7</v>
      </c>
      <c r="Z11" s="1028" t="s">
        <v>613</v>
      </c>
      <c r="AA11" s="1029"/>
      <c r="AB11" s="357">
        <v>0.26819999999999999</v>
      </c>
    </row>
    <row r="12" spans="1:28" ht="30" customHeight="1" x14ac:dyDescent="0.25">
      <c r="A12" s="102" t="s">
        <v>14</v>
      </c>
      <c r="B12" s="1010" t="s">
        <v>939</v>
      </c>
      <c r="C12" s="1010"/>
      <c r="D12" s="1010"/>
      <c r="E12" s="1010"/>
      <c r="G12" s="225"/>
      <c r="H12" s="225" t="s">
        <v>7</v>
      </c>
      <c r="I12" s="7"/>
      <c r="J12" s="7"/>
      <c r="K12" s="7"/>
      <c r="L12" s="7"/>
      <c r="M12" s="7"/>
      <c r="N12" s="7"/>
      <c r="Z12" s="1028" t="s">
        <v>614</v>
      </c>
      <c r="AA12" s="1029"/>
      <c r="AB12" s="357">
        <v>1.18E-2</v>
      </c>
    </row>
    <row r="13" spans="1:28" ht="30" customHeight="1" x14ac:dyDescent="0.2">
      <c r="A13" s="102" t="s">
        <v>3</v>
      </c>
      <c r="B13" s="1011" t="s">
        <v>943</v>
      </c>
      <c r="C13" s="1011"/>
      <c r="D13" s="1011"/>
      <c r="E13" s="1011"/>
      <c r="G13" s="81">
        <f>SUM(H18:H23)*1.14</f>
        <v>64343.88</v>
      </c>
      <c r="H13" s="56">
        <f>SUM(K18:K23)</f>
        <v>0</v>
      </c>
      <c r="I13" s="56">
        <f>SUM(N18:N23)</f>
        <v>0</v>
      </c>
      <c r="J13" s="56">
        <f>SUM(Q18:Q23)</f>
        <v>0</v>
      </c>
      <c r="K13" s="56">
        <f>SUM(T18:T23)</f>
        <v>0</v>
      </c>
      <c r="L13" s="56">
        <f>SUM(W18:W23)</f>
        <v>0</v>
      </c>
      <c r="M13" s="56" t="s">
        <v>501</v>
      </c>
      <c r="Z13" s="1028" t="s">
        <v>615</v>
      </c>
      <c r="AA13" s="1029"/>
      <c r="AB13" s="358">
        <v>0.36854545454545451</v>
      </c>
    </row>
    <row r="14" spans="1:28" ht="30" customHeight="1" x14ac:dyDescent="0.2">
      <c r="A14" s="102" t="s">
        <v>15</v>
      </c>
      <c r="B14" s="1010"/>
      <c r="C14" s="1010"/>
      <c r="D14" s="1010"/>
      <c r="E14" s="1010"/>
      <c r="G14" s="81">
        <f>SUM(I18:I23)</f>
        <v>76669.006838053116</v>
      </c>
      <c r="H14" s="56">
        <f>SUM(L18:L23)</f>
        <v>0</v>
      </c>
      <c r="I14" s="56">
        <f>SUM(O18:O23)</f>
        <v>0</v>
      </c>
      <c r="J14" s="56">
        <f>SUM(R18:R23)</f>
        <v>0</v>
      </c>
      <c r="K14" s="56">
        <f>SUM(U18:U23)</f>
        <v>0</v>
      </c>
      <c r="L14" s="56">
        <f>SUM(X18:X23)</f>
        <v>0</v>
      </c>
      <c r="M14" s="56" t="s">
        <v>50</v>
      </c>
      <c r="Z14" s="1028" t="s">
        <v>616</v>
      </c>
      <c r="AA14" s="1029"/>
      <c r="AB14" s="357">
        <v>0.26819999999999999</v>
      </c>
    </row>
    <row r="15" spans="1:28" ht="30" customHeight="1" x14ac:dyDescent="0.2">
      <c r="A15" s="102" t="s">
        <v>4</v>
      </c>
      <c r="B15" s="1010">
        <v>2020</v>
      </c>
      <c r="C15" s="1010"/>
      <c r="D15" s="1010"/>
      <c r="E15" s="1010"/>
      <c r="F15" s="42"/>
      <c r="Z15" s="1028" t="s">
        <v>578</v>
      </c>
      <c r="AA15" s="1029"/>
      <c r="AB15" s="357">
        <v>0.27700000000000002</v>
      </c>
    </row>
    <row r="16" spans="1:28" ht="30" customHeight="1" x14ac:dyDescent="0.2">
      <c r="A16" s="102" t="s">
        <v>5</v>
      </c>
      <c r="B16" s="1010">
        <v>2030</v>
      </c>
      <c r="C16" s="1010"/>
      <c r="D16" s="1010"/>
      <c r="E16" s="1010"/>
      <c r="F16" s="42"/>
      <c r="G16" s="1037" t="s">
        <v>936</v>
      </c>
      <c r="H16" s="1037"/>
      <c r="I16" s="1037"/>
      <c r="Z16" s="1028" t="s">
        <v>579</v>
      </c>
      <c r="AA16" s="1029"/>
      <c r="AB16" s="357">
        <v>0.20269999999999999</v>
      </c>
    </row>
    <row r="17" spans="1:9" ht="30" customHeight="1" x14ac:dyDescent="0.25">
      <c r="A17" s="102" t="s">
        <v>6</v>
      </c>
      <c r="B17" s="1000">
        <v>10000</v>
      </c>
      <c r="C17" s="1000"/>
      <c r="D17" s="1000"/>
      <c r="E17" s="1000"/>
      <c r="F17" s="43"/>
      <c r="G17" s="58" t="s">
        <v>512</v>
      </c>
      <c r="H17" s="58" t="s">
        <v>501</v>
      </c>
      <c r="I17" s="58" t="s">
        <v>50</v>
      </c>
    </row>
    <row r="18" spans="1:9" ht="30" customHeight="1" x14ac:dyDescent="0.25">
      <c r="A18" s="102" t="s">
        <v>7</v>
      </c>
      <c r="B18" s="1000">
        <f>SUM(G12:L12)</f>
        <v>0</v>
      </c>
      <c r="C18" s="1000"/>
      <c r="D18" s="1000"/>
      <c r="E18" s="1000"/>
      <c r="F18" s="44"/>
      <c r="G18" s="606" t="s">
        <v>1080</v>
      </c>
      <c r="H18" s="58">
        <v>11093</v>
      </c>
      <c r="I18" s="259">
        <v>14922.558139534884</v>
      </c>
    </row>
    <row r="19" spans="1:9" ht="30" customHeight="1" x14ac:dyDescent="0.25">
      <c r="A19" s="99" t="s">
        <v>307</v>
      </c>
      <c r="B19" s="1039">
        <f>J11*M11+I11*N11*10</f>
        <v>144021.56136761061</v>
      </c>
      <c r="C19" s="1040"/>
      <c r="D19" s="1040"/>
      <c r="E19" s="1040"/>
      <c r="F19" s="42"/>
      <c r="G19" s="606" t="s">
        <v>1081</v>
      </c>
      <c r="H19" s="486">
        <v>9869</v>
      </c>
      <c r="I19" s="259">
        <v>28121.043956043955</v>
      </c>
    </row>
    <row r="20" spans="1:9" ht="30" customHeight="1" x14ac:dyDescent="0.25">
      <c r="A20" s="96" t="s">
        <v>306</v>
      </c>
      <c r="B20" s="1041"/>
      <c r="C20" s="1042"/>
      <c r="D20" s="1042"/>
      <c r="E20" s="1042"/>
      <c r="G20" s="606" t="s">
        <v>1082</v>
      </c>
      <c r="H20" s="486">
        <v>19448</v>
      </c>
      <c r="I20" s="259">
        <v>16922.334123222747</v>
      </c>
    </row>
    <row r="21" spans="1:9" ht="30" customHeight="1" x14ac:dyDescent="0.25">
      <c r="A21" s="102" t="s">
        <v>8</v>
      </c>
      <c r="B21" s="1000">
        <f>J11*M11*O11+I11*N11*P11</f>
        <v>12074.903473522123</v>
      </c>
      <c r="C21" s="1000"/>
      <c r="D21" s="1000"/>
      <c r="E21" s="1000"/>
      <c r="F21" s="45"/>
      <c r="G21" s="606" t="s">
        <v>1083</v>
      </c>
      <c r="H21" s="486">
        <v>8047</v>
      </c>
      <c r="I21" s="259">
        <v>3165.778894472362</v>
      </c>
    </row>
    <row r="22" spans="1:9" ht="30" customHeight="1" x14ac:dyDescent="0.25">
      <c r="A22" s="102" t="s">
        <v>9</v>
      </c>
      <c r="B22" s="1000"/>
      <c r="C22" s="1000"/>
      <c r="D22" s="1000"/>
      <c r="E22" s="1000"/>
      <c r="F22" s="46"/>
      <c r="G22" s="606" t="s">
        <v>1084</v>
      </c>
      <c r="H22" s="486">
        <v>2597</v>
      </c>
      <c r="I22" s="259">
        <v>2441.4444444444443</v>
      </c>
    </row>
    <row r="23" spans="1:9" ht="30" customHeight="1" x14ac:dyDescent="0.25">
      <c r="A23" s="102" t="s">
        <v>301</v>
      </c>
      <c r="B23" s="1016">
        <f>B17/(B21+B22)</f>
        <v>0.82816397016572629</v>
      </c>
      <c r="C23" s="1016"/>
      <c r="D23" s="1016"/>
      <c r="E23" s="1016"/>
      <c r="F23" s="46"/>
      <c r="G23" s="606" t="s">
        <v>1085</v>
      </c>
      <c r="H23" s="486">
        <v>5388</v>
      </c>
      <c r="I23" s="259">
        <v>11095.847280334729</v>
      </c>
    </row>
    <row r="24" spans="1:9" ht="30" customHeight="1" x14ac:dyDescent="0.25">
      <c r="A24" s="102" t="s">
        <v>302</v>
      </c>
      <c r="B24" s="1017">
        <f>(B17-B18)/(B21+B22)</f>
        <v>0.82816397016572629</v>
      </c>
      <c r="C24" s="1017"/>
      <c r="D24" s="1017"/>
      <c r="E24" s="1017"/>
      <c r="F24" s="47"/>
      <c r="G24" s="606" t="s">
        <v>1086</v>
      </c>
      <c r="H24" s="602">
        <v>3024</v>
      </c>
      <c r="I24" s="259">
        <v>9293.3055555555566</v>
      </c>
    </row>
    <row r="25" spans="1:9" ht="30" customHeight="1" x14ac:dyDescent="0.25">
      <c r="A25" s="103" t="s">
        <v>305</v>
      </c>
      <c r="B25" s="1036">
        <f>(J11*M11*K11+I11*10*N11*L11)/1000</f>
        <v>38.761520210828145</v>
      </c>
      <c r="C25" s="1036"/>
      <c r="D25" s="1036"/>
      <c r="E25" s="1036"/>
      <c r="F25" s="48"/>
      <c r="G25" s="602"/>
      <c r="H25" s="602"/>
      <c r="I25" s="602"/>
    </row>
    <row r="26" spans="1:9" ht="30" customHeight="1" x14ac:dyDescent="0.25">
      <c r="A26" s="104" t="s">
        <v>303</v>
      </c>
      <c r="B26" s="1019">
        <f>B25/'Objectifs CO2'!C11</f>
        <v>1.7877512906757442E-2</v>
      </c>
      <c r="C26" s="1019"/>
      <c r="D26" s="1019"/>
      <c r="E26" s="1019"/>
      <c r="F26" s="49"/>
      <c r="G26" s="602"/>
      <c r="H26" s="602"/>
      <c r="I26" s="602"/>
    </row>
    <row r="27" spans="1:9" ht="30" customHeight="1" x14ac:dyDescent="0.25">
      <c r="A27" s="104" t="s">
        <v>304</v>
      </c>
      <c r="B27" s="1020">
        <f>B25/'Objectifs CO2'!C4</f>
        <v>1.7877512906757441E-3</v>
      </c>
      <c r="C27" s="1021"/>
      <c r="D27" s="1021"/>
      <c r="E27" s="1021"/>
      <c r="F27" s="50"/>
      <c r="G27" s="602"/>
      <c r="H27" s="602"/>
      <c r="I27" s="602"/>
    </row>
    <row r="28" spans="1:9" ht="30" customHeight="1" x14ac:dyDescent="0.25">
      <c r="A28" s="104" t="s">
        <v>22</v>
      </c>
      <c r="B28" s="999"/>
      <c r="C28" s="999"/>
      <c r="D28" s="999"/>
      <c r="E28" s="999"/>
      <c r="G28" s="602"/>
      <c r="H28" s="602"/>
      <c r="I28" s="602"/>
    </row>
    <row r="29" spans="1:9" ht="30" customHeight="1" x14ac:dyDescent="0.25">
      <c r="A29" s="101" t="s">
        <v>257</v>
      </c>
      <c r="B29" s="999" t="s">
        <v>263</v>
      </c>
      <c r="C29" s="999"/>
      <c r="D29" s="999"/>
      <c r="E29" s="999"/>
      <c r="G29" s="602"/>
      <c r="H29" s="602"/>
      <c r="I29" s="602"/>
    </row>
    <row r="31" spans="1:9" ht="23.25" customHeight="1" x14ac:dyDescent="0.25">
      <c r="A31" s="603" t="s">
        <v>1065</v>
      </c>
      <c r="B31" s="1003" t="s">
        <v>675</v>
      </c>
      <c r="C31" s="1003"/>
      <c r="D31" s="1003"/>
      <c r="E31" s="56" t="s">
        <v>676</v>
      </c>
      <c r="F31" s="6"/>
      <c r="G31" s="6"/>
      <c r="H31" s="6"/>
      <c r="I31" s="6"/>
    </row>
    <row r="32" spans="1:9" ht="23.25" customHeight="1" x14ac:dyDescent="0.25">
      <c r="A32" s="377"/>
      <c r="B32" s="992" t="s">
        <v>677</v>
      </c>
      <c r="C32" s="992"/>
      <c r="D32" s="992"/>
      <c r="E32" s="374"/>
      <c r="F32" s="6"/>
      <c r="G32" s="1004" t="s">
        <v>676</v>
      </c>
      <c r="H32" s="1004"/>
      <c r="I32" s="1004"/>
    </row>
    <row r="33" spans="1:12" ht="23.25" customHeight="1" x14ac:dyDescent="0.25">
      <c r="A33" s="377"/>
      <c r="B33" s="992" t="s">
        <v>678</v>
      </c>
      <c r="C33" s="992"/>
      <c r="D33" s="992"/>
      <c r="E33" s="374"/>
      <c r="F33" s="6"/>
      <c r="G33" s="375">
        <v>3</v>
      </c>
      <c r="H33" s="1004" t="s">
        <v>679</v>
      </c>
      <c r="I33" s="1004"/>
    </row>
    <row r="34" spans="1:12" ht="23.25" customHeight="1" x14ac:dyDescent="0.25">
      <c r="A34" s="377"/>
      <c r="B34" s="992" t="s">
        <v>680</v>
      </c>
      <c r="C34" s="992"/>
      <c r="D34" s="992"/>
      <c r="E34" s="374"/>
      <c r="F34" s="6"/>
      <c r="G34" s="375">
        <v>2</v>
      </c>
      <c r="H34" s="1004" t="s">
        <v>681</v>
      </c>
      <c r="I34" s="1004"/>
    </row>
    <row r="35" spans="1:12" ht="23.25" customHeight="1" x14ac:dyDescent="0.25">
      <c r="A35" s="377"/>
      <c r="B35" s="992" t="s">
        <v>682</v>
      </c>
      <c r="C35" s="992"/>
      <c r="D35" s="992"/>
      <c r="E35" s="374"/>
      <c r="F35" s="6"/>
      <c r="G35" s="375">
        <v>1</v>
      </c>
      <c r="H35" s="1004" t="s">
        <v>683</v>
      </c>
      <c r="I35" s="1004"/>
    </row>
    <row r="36" spans="1:12" ht="23.25" customHeight="1" x14ac:dyDescent="0.25">
      <c r="A36" s="377"/>
      <c r="B36" s="992" t="s">
        <v>684</v>
      </c>
      <c r="C36" s="992"/>
      <c r="D36" s="992"/>
      <c r="E36" s="374"/>
      <c r="F36" s="6"/>
      <c r="G36" s="6"/>
      <c r="H36" s="6"/>
      <c r="I36" s="6"/>
    </row>
    <row r="37" spans="1:12" ht="23.25" customHeight="1" x14ac:dyDescent="0.25">
      <c r="A37" s="377"/>
      <c r="B37" s="992" t="s">
        <v>685</v>
      </c>
      <c r="C37" s="992"/>
      <c r="D37" s="992"/>
      <c r="E37" s="374"/>
      <c r="F37" s="6"/>
      <c r="G37" s="6"/>
      <c r="H37" s="6"/>
      <c r="I37" s="6"/>
    </row>
    <row r="38" spans="1:12" ht="23.25" customHeight="1" x14ac:dyDescent="0.25">
      <c r="A38" s="377"/>
      <c r="B38" s="992" t="s">
        <v>686</v>
      </c>
      <c r="C38" s="992"/>
      <c r="D38" s="992"/>
      <c r="E38" s="374"/>
      <c r="F38" s="6"/>
      <c r="G38" s="6"/>
      <c r="H38" s="6"/>
      <c r="I38" s="6"/>
    </row>
    <row r="39" spans="1:12" ht="23.25" customHeight="1" x14ac:dyDescent="0.25">
      <c r="A39" s="377"/>
      <c r="B39" s="992" t="s">
        <v>687</v>
      </c>
      <c r="C39" s="992"/>
      <c r="D39" s="992"/>
      <c r="E39" s="374"/>
      <c r="F39" s="6"/>
      <c r="G39" s="6"/>
      <c r="H39" s="6"/>
      <c r="I39" s="6"/>
    </row>
    <row r="40" spans="1:12" ht="23.25" customHeight="1" x14ac:dyDescent="0.25">
      <c r="A40" s="377"/>
      <c r="B40" s="992" t="s">
        <v>688</v>
      </c>
      <c r="C40" s="992"/>
      <c r="D40" s="992"/>
      <c r="E40" s="374"/>
      <c r="F40" s="6"/>
      <c r="G40" s="1005" t="s">
        <v>689</v>
      </c>
      <c r="H40" s="1005"/>
      <c r="I40" s="1005"/>
    </row>
    <row r="41" spans="1:12" ht="23.25" customHeight="1" x14ac:dyDescent="0.25">
      <c r="A41" s="377"/>
      <c r="B41" s="992" t="s">
        <v>843</v>
      </c>
      <c r="C41" s="992"/>
      <c r="D41" s="992"/>
      <c r="E41" s="374"/>
      <c r="F41" s="6"/>
      <c r="G41" s="377" t="s">
        <v>690</v>
      </c>
      <c r="H41" s="378" t="s">
        <v>691</v>
      </c>
      <c r="I41" s="377" t="s">
        <v>692</v>
      </c>
    </row>
    <row r="42" spans="1:12" ht="23.25" customHeight="1" x14ac:dyDescent="0.25">
      <c r="A42" s="377"/>
      <c r="B42" s="988" t="s">
        <v>247</v>
      </c>
      <c r="C42" s="988"/>
      <c r="D42" s="988"/>
      <c r="E42" s="376">
        <f>SUM(E32:E40)</f>
        <v>0</v>
      </c>
      <c r="F42" s="6"/>
      <c r="G42" s="377" t="s">
        <v>693</v>
      </c>
      <c r="H42" s="377" t="s">
        <v>694</v>
      </c>
      <c r="I42" s="377" t="s">
        <v>695</v>
      </c>
    </row>
    <row r="43" spans="1:12" ht="23.25" customHeight="1" x14ac:dyDescent="0.25">
      <c r="B43" s="6"/>
      <c r="C43" s="6"/>
      <c r="D43" s="6"/>
      <c r="E43" s="94" t="s">
        <v>730</v>
      </c>
      <c r="F43" s="6"/>
      <c r="G43" s="6"/>
      <c r="H43" s="6"/>
      <c r="I43" s="6"/>
    </row>
    <row r="44" spans="1:12" ht="23.25" customHeight="1" x14ac:dyDescent="0.25">
      <c r="B44" s="989" t="s">
        <v>696</v>
      </c>
      <c r="C44" s="990"/>
      <c r="D44" s="991"/>
      <c r="E44" s="267">
        <v>1</v>
      </c>
      <c r="F44" s="6"/>
      <c r="G44" s="377">
        <v>1</v>
      </c>
      <c r="H44" s="377" t="s">
        <v>697</v>
      </c>
      <c r="I44" s="6"/>
    </row>
    <row r="45" spans="1:12" ht="23.25" customHeight="1" x14ac:dyDescent="0.25">
      <c r="B45" s="6"/>
      <c r="C45" s="6"/>
      <c r="D45" s="6"/>
      <c r="E45" s="6"/>
      <c r="F45" s="6"/>
      <c r="G45" s="377">
        <v>0</v>
      </c>
      <c r="H45" s="377" t="s">
        <v>698</v>
      </c>
      <c r="I45" s="6"/>
    </row>
    <row r="46" spans="1:12" ht="23.25" customHeight="1" x14ac:dyDescent="0.25">
      <c r="A46" s="6"/>
      <c r="B46" s="6"/>
      <c r="C46" s="6"/>
      <c r="D46" s="6"/>
      <c r="E46" s="6"/>
      <c r="F46" s="6"/>
      <c r="G46" s="1022" t="s">
        <v>965</v>
      </c>
      <c r="H46" s="1022"/>
      <c r="I46" s="1022"/>
      <c r="J46" s="1022"/>
      <c r="K46" s="1022"/>
      <c r="L46" s="1022"/>
    </row>
    <row r="47" spans="1:12" ht="23.25" customHeight="1" x14ac:dyDescent="0.25">
      <c r="A47" s="959" t="s">
        <v>966</v>
      </c>
      <c r="B47" s="1022"/>
      <c r="C47" s="1022"/>
      <c r="D47" s="1022"/>
      <c r="E47" s="1022"/>
      <c r="F47" s="1022"/>
      <c r="G47" s="1022"/>
      <c r="H47" s="1022"/>
      <c r="I47" s="1022"/>
      <c r="J47" s="1022"/>
      <c r="K47" s="1022"/>
      <c r="L47" s="1022"/>
    </row>
    <row r="48" spans="1:12" ht="23.25" customHeight="1" x14ac:dyDescent="0.25">
      <c r="A48" s="959"/>
      <c r="B48" s="1022"/>
      <c r="C48" s="1022"/>
      <c r="D48" s="1022"/>
      <c r="E48" s="1022"/>
      <c r="F48" s="1022"/>
      <c r="G48" s="1022"/>
      <c r="H48" s="1022"/>
      <c r="I48" s="1022"/>
      <c r="J48" s="1022"/>
      <c r="K48" s="1022"/>
      <c r="L48" s="1022"/>
    </row>
    <row r="49" spans="1:12" ht="23.25" customHeight="1" x14ac:dyDescent="0.25">
      <c r="A49" s="959"/>
      <c r="B49" s="1022"/>
      <c r="C49" s="1022"/>
      <c r="D49" s="1022"/>
      <c r="E49" s="1022"/>
      <c r="F49" s="1022"/>
      <c r="G49" s="1022"/>
      <c r="H49" s="1022"/>
      <c r="I49" s="1022"/>
      <c r="J49" s="1022"/>
      <c r="K49" s="1022"/>
      <c r="L49" s="1022"/>
    </row>
    <row r="50" spans="1:12" ht="23.25" customHeight="1" x14ac:dyDescent="0.25">
      <c r="A50" s="959"/>
      <c r="B50" s="1022"/>
      <c r="C50" s="1022"/>
      <c r="D50" s="1022"/>
      <c r="E50" s="1022"/>
      <c r="F50" s="1022"/>
      <c r="G50" s="1022"/>
      <c r="H50" s="1022"/>
      <c r="I50" s="1022"/>
      <c r="J50" s="1022"/>
      <c r="K50" s="1022"/>
      <c r="L50" s="1022"/>
    </row>
    <row r="51" spans="1:12" ht="23.25" customHeight="1" x14ac:dyDescent="0.25">
      <c r="A51" s="959"/>
      <c r="B51" s="1022"/>
      <c r="C51" s="1022"/>
      <c r="D51" s="1022"/>
      <c r="E51" s="1022"/>
      <c r="F51" s="1022"/>
      <c r="G51" s="1022"/>
      <c r="H51" s="1022"/>
      <c r="I51" s="1022"/>
      <c r="J51" s="1022"/>
      <c r="K51" s="1022"/>
      <c r="L51" s="1022"/>
    </row>
    <row r="52" spans="1:12" ht="23.25" customHeight="1" x14ac:dyDescent="0.25">
      <c r="A52" s="959" t="s">
        <v>967</v>
      </c>
      <c r="B52" s="1022"/>
      <c r="C52" s="1022"/>
      <c r="D52" s="1022"/>
      <c r="E52" s="1022"/>
      <c r="F52" s="1022"/>
      <c r="G52" s="1022"/>
      <c r="H52" s="1022"/>
      <c r="I52" s="1022"/>
      <c r="J52" s="1022"/>
      <c r="K52" s="1022"/>
      <c r="L52" s="1022"/>
    </row>
    <row r="53" spans="1:12" ht="23.25" customHeight="1" x14ac:dyDescent="0.25">
      <c r="A53" s="959"/>
      <c r="B53" s="1022"/>
      <c r="C53" s="1022"/>
      <c r="D53" s="1022"/>
      <c r="E53" s="1022"/>
      <c r="F53" s="1022"/>
      <c r="G53" s="1022"/>
      <c r="H53" s="1022"/>
      <c r="I53" s="1022"/>
      <c r="J53" s="1022"/>
      <c r="K53" s="1022"/>
      <c r="L53" s="1022"/>
    </row>
    <row r="54" spans="1:12" ht="23.25" customHeight="1" x14ac:dyDescent="0.25">
      <c r="A54" s="959"/>
      <c r="B54" s="1022"/>
      <c r="C54" s="1022"/>
      <c r="D54" s="1022"/>
      <c r="E54" s="1022"/>
      <c r="F54" s="1022"/>
      <c r="G54" s="1022"/>
      <c r="H54" s="1022"/>
      <c r="I54" s="1022"/>
      <c r="J54" s="1022"/>
      <c r="K54" s="1022"/>
      <c r="L54" s="1022"/>
    </row>
    <row r="55" spans="1:12" ht="23.25" customHeight="1" x14ac:dyDescent="0.25">
      <c r="A55" s="959"/>
      <c r="B55" s="1022"/>
      <c r="C55" s="1022"/>
      <c r="D55" s="1022"/>
      <c r="E55" s="1022"/>
      <c r="F55" s="1022"/>
      <c r="G55" s="1022"/>
      <c r="H55" s="1022"/>
      <c r="I55" s="1022"/>
      <c r="J55" s="1022"/>
      <c r="K55" s="1022"/>
      <c r="L55" s="1022"/>
    </row>
    <row r="56" spans="1:12" ht="23.25" customHeight="1" x14ac:dyDescent="0.25">
      <c r="A56" s="959"/>
      <c r="B56" s="1022"/>
      <c r="C56" s="1022"/>
      <c r="D56" s="1022"/>
      <c r="E56" s="1022"/>
      <c r="F56" s="1022"/>
      <c r="G56" s="1022"/>
      <c r="H56" s="1022"/>
      <c r="I56" s="1022"/>
      <c r="J56" s="1022"/>
      <c r="K56" s="1022"/>
      <c r="L56" s="1022"/>
    </row>
    <row r="57" spans="1:12" ht="23.25" customHeight="1" x14ac:dyDescent="0.25">
      <c r="A57" s="959"/>
      <c r="B57" s="1022"/>
      <c r="C57" s="1022"/>
      <c r="D57" s="1022"/>
      <c r="E57" s="1022"/>
      <c r="F57" s="1022"/>
      <c r="G57" s="1022"/>
      <c r="H57" s="1022"/>
      <c r="I57" s="1022"/>
      <c r="J57" s="1022"/>
      <c r="K57" s="1022"/>
      <c r="L57" s="1022"/>
    </row>
    <row r="58" spans="1:12" ht="23.25" customHeight="1" x14ac:dyDescent="0.25">
      <c r="A58" s="959"/>
      <c r="B58" s="1022"/>
      <c r="C58" s="1022"/>
      <c r="D58" s="1022"/>
      <c r="E58" s="1022"/>
      <c r="F58" s="1022"/>
      <c r="G58" s="1022"/>
      <c r="H58" s="1022"/>
      <c r="I58" s="1022"/>
      <c r="J58" s="1022"/>
      <c r="K58" s="1022"/>
      <c r="L58" s="1022"/>
    </row>
    <row r="59" spans="1:12" ht="23.25" customHeight="1" x14ac:dyDescent="0.25">
      <c r="A59" s="959"/>
      <c r="B59" s="1022"/>
      <c r="C59" s="1022"/>
      <c r="D59" s="1022"/>
      <c r="E59" s="1022"/>
      <c r="F59" s="1022"/>
      <c r="G59" s="1022"/>
      <c r="H59" s="1022"/>
      <c r="I59" s="1022"/>
      <c r="J59" s="1022"/>
      <c r="K59" s="1022"/>
      <c r="L59" s="1022"/>
    </row>
    <row r="60" spans="1:12" ht="23.25" customHeight="1" x14ac:dyDescent="0.25">
      <c r="A60" s="959"/>
      <c r="B60" s="1022"/>
      <c r="C60" s="1022"/>
      <c r="D60" s="1022"/>
      <c r="E60" s="1022"/>
      <c r="F60" s="1022"/>
      <c r="G60" s="1022"/>
      <c r="H60" s="1022"/>
      <c r="I60" s="1022"/>
      <c r="J60" s="1022"/>
      <c r="K60" s="1022"/>
      <c r="L60" s="1022"/>
    </row>
    <row r="61" spans="1:12" ht="23.25" customHeight="1" x14ac:dyDescent="0.25">
      <c r="A61" s="959"/>
      <c r="B61" s="1022"/>
      <c r="C61" s="1022"/>
      <c r="D61" s="1022"/>
      <c r="E61" s="1022"/>
      <c r="F61" s="1022"/>
      <c r="G61" s="1022"/>
      <c r="H61" s="1022"/>
      <c r="I61" s="1022"/>
      <c r="J61" s="1022"/>
      <c r="K61" s="1022"/>
      <c r="L61" s="1022"/>
    </row>
    <row r="62" spans="1:12" ht="23.25" customHeight="1" x14ac:dyDescent="0.25">
      <c r="A62" s="959"/>
      <c r="B62" s="1022"/>
      <c r="C62" s="1022"/>
      <c r="D62" s="1022"/>
      <c r="E62" s="1022"/>
      <c r="F62" s="1022"/>
      <c r="G62" s="1022"/>
      <c r="H62" s="1022"/>
      <c r="I62" s="1022"/>
      <c r="J62" s="1022"/>
      <c r="K62" s="1022"/>
      <c r="L62" s="1022"/>
    </row>
    <row r="63" spans="1:12" ht="23.25" customHeight="1" x14ac:dyDescent="0.25">
      <c r="A63" s="959" t="s">
        <v>968</v>
      </c>
      <c r="B63" s="1022"/>
      <c r="C63" s="1022"/>
      <c r="D63" s="1022"/>
      <c r="E63" s="1022"/>
      <c r="F63" s="1022"/>
      <c r="G63" s="1022"/>
      <c r="H63" s="1022"/>
      <c r="I63" s="1022"/>
      <c r="J63" s="1022"/>
      <c r="K63" s="1022"/>
      <c r="L63" s="1022"/>
    </row>
    <row r="64" spans="1:12" ht="23.25" customHeight="1" x14ac:dyDescent="0.25">
      <c r="A64" s="959"/>
      <c r="B64" s="1022"/>
      <c r="C64" s="1022"/>
      <c r="D64" s="1022"/>
      <c r="E64" s="1022"/>
      <c r="F64" s="1022"/>
      <c r="G64" s="1022"/>
      <c r="H64" s="1022"/>
      <c r="I64" s="1022"/>
      <c r="J64" s="1022"/>
      <c r="K64" s="1022"/>
      <c r="L64" s="1022"/>
    </row>
    <row r="65" spans="1:12" ht="23.25" customHeight="1" x14ac:dyDescent="0.25">
      <c r="A65" s="959"/>
      <c r="B65" s="1022"/>
      <c r="C65" s="1022"/>
      <c r="D65" s="1022"/>
      <c r="E65" s="1022"/>
      <c r="F65" s="1022"/>
      <c r="G65" s="1022"/>
      <c r="H65" s="1022"/>
      <c r="I65" s="1022"/>
      <c r="J65" s="1022"/>
      <c r="K65" s="1022"/>
      <c r="L65" s="1022"/>
    </row>
    <row r="66" spans="1:12" ht="23.25" customHeight="1" x14ac:dyDescent="0.25">
      <c r="A66" s="959"/>
      <c r="B66" s="1022"/>
      <c r="C66" s="1022"/>
      <c r="D66" s="1022"/>
      <c r="E66" s="1022"/>
      <c r="F66" s="1022"/>
      <c r="G66" s="1022"/>
      <c r="H66" s="1022"/>
      <c r="I66" s="1022"/>
      <c r="J66" s="1022"/>
      <c r="K66" s="1022"/>
      <c r="L66" s="1022"/>
    </row>
    <row r="67" spans="1:12" ht="23.25" customHeight="1" x14ac:dyDescent="0.25">
      <c r="A67" s="959"/>
      <c r="B67" s="1022"/>
      <c r="C67" s="1022"/>
      <c r="D67" s="1022"/>
      <c r="E67" s="1022"/>
      <c r="F67" s="1022"/>
      <c r="G67" s="1022"/>
      <c r="H67" s="1022"/>
      <c r="I67" s="1022"/>
      <c r="J67" s="1022"/>
      <c r="K67" s="1022"/>
      <c r="L67" s="1022"/>
    </row>
    <row r="68" spans="1:12" ht="23.25" customHeight="1" x14ac:dyDescent="0.25">
      <c r="A68" s="959"/>
      <c r="B68" s="1022"/>
      <c r="C68" s="1022"/>
      <c r="D68" s="1022"/>
      <c r="E68" s="1022"/>
      <c r="F68" s="1022"/>
      <c r="G68" s="1022"/>
      <c r="H68" s="1022"/>
      <c r="I68" s="1022"/>
      <c r="J68" s="1022"/>
      <c r="K68" s="1022"/>
      <c r="L68" s="1022"/>
    </row>
    <row r="69" spans="1:12" ht="23.25" customHeight="1" x14ac:dyDescent="0.25">
      <c r="A69" s="959"/>
      <c r="B69" s="1022"/>
      <c r="C69" s="1022"/>
      <c r="D69" s="1022"/>
      <c r="E69" s="1022"/>
      <c r="F69" s="1022"/>
      <c r="G69" s="1022"/>
      <c r="H69" s="1022"/>
      <c r="I69" s="1022"/>
      <c r="J69" s="1022"/>
      <c r="K69" s="1022"/>
      <c r="L69" s="1022"/>
    </row>
  </sheetData>
  <mergeCells count="116">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14:E14"/>
    <mergeCell ref="B22:E22"/>
    <mergeCell ref="B19:E19"/>
    <mergeCell ref="B21:E21"/>
    <mergeCell ref="B15:E15"/>
    <mergeCell ref="B16:E16"/>
    <mergeCell ref="B17:E17"/>
    <mergeCell ref="B18:E18"/>
    <mergeCell ref="B20:E20"/>
    <mergeCell ref="G16:I16"/>
    <mergeCell ref="G8:G10"/>
    <mergeCell ref="Z5:AB5"/>
    <mergeCell ref="Z6:AA6"/>
    <mergeCell ref="Z8:AA8"/>
    <mergeCell ref="Z9:AA9"/>
    <mergeCell ref="Z10:AA10"/>
    <mergeCell ref="Z16:AA16"/>
    <mergeCell ref="Z11:AA11"/>
    <mergeCell ref="Z12:AA12"/>
    <mergeCell ref="Z13:AA13"/>
    <mergeCell ref="Z14:AA14"/>
    <mergeCell ref="Z15:AA15"/>
    <mergeCell ref="G7:H7"/>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1:D31"/>
    <mergeCell ref="B32:D32"/>
    <mergeCell ref="B8:E8"/>
    <mergeCell ref="B9:E9"/>
    <mergeCell ref="B10:E10"/>
    <mergeCell ref="B12:E12"/>
    <mergeCell ref="B11:E11"/>
    <mergeCell ref="B29:E29"/>
    <mergeCell ref="B13:E13"/>
    <mergeCell ref="B28:E28"/>
    <mergeCell ref="B23:E23"/>
    <mergeCell ref="B24:E24"/>
    <mergeCell ref="B25:E25"/>
    <mergeCell ref="B26:E26"/>
    <mergeCell ref="B27:E27"/>
    <mergeCell ref="G2:H2"/>
    <mergeCell ref="B3:E3"/>
    <mergeCell ref="G3:H3"/>
    <mergeCell ref="B4:E4"/>
    <mergeCell ref="B5:E5"/>
    <mergeCell ref="B6:E6"/>
    <mergeCell ref="B7:E7"/>
    <mergeCell ref="G6:H6"/>
    <mergeCell ref="G4:H4"/>
    <mergeCell ref="G5:H5"/>
  </mergeCells>
  <conditionalFormatting sqref="B5">
    <cfRule type="containsText" dxfId="368" priority="1" operator="containsText" text="Terminé">
      <formula>NOT(ISERROR(SEARCH("Terminé",B5)))</formula>
    </cfRule>
    <cfRule type="containsText" dxfId="367" priority="2" operator="containsText" text="En cours">
      <formula>NOT(ISERROR(SEARCH("En cours",B5)))</formula>
    </cfRule>
    <cfRule type="containsText" dxfId="36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6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0" zoomScale="115" zoomScaleNormal="115" workbookViewId="0">
      <selection activeCell="B14" sqref="B14:E1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1001" t="s">
        <v>937</v>
      </c>
      <c r="B1" s="1001"/>
      <c r="C1" s="1001"/>
      <c r="D1" s="1001"/>
      <c r="E1" s="1001"/>
      <c r="F1" s="276"/>
      <c r="G1" s="7"/>
      <c r="H1" s="7"/>
    </row>
    <row r="2" spans="1:28" ht="19.5" customHeight="1" x14ac:dyDescent="0.25">
      <c r="A2" s="412" t="s">
        <v>750</v>
      </c>
      <c r="B2" s="1002" t="s">
        <v>126</v>
      </c>
      <c r="C2" s="1002"/>
      <c r="D2" s="1002"/>
      <c r="E2" s="1002"/>
      <c r="F2" s="7"/>
      <c r="G2" s="986" t="s">
        <v>751</v>
      </c>
      <c r="H2" s="986"/>
    </row>
    <row r="3" spans="1:28" ht="19.5" customHeight="1" x14ac:dyDescent="0.25">
      <c r="A3" s="409" t="s">
        <v>743</v>
      </c>
      <c r="B3" s="987" t="s">
        <v>744</v>
      </c>
      <c r="C3" s="987"/>
      <c r="D3" s="987"/>
      <c r="E3" s="987"/>
      <c r="F3" s="7"/>
      <c r="G3" s="986" t="s">
        <v>752</v>
      </c>
      <c r="H3" s="986"/>
    </row>
    <row r="4" spans="1:28" ht="19.5" customHeight="1" x14ac:dyDescent="0.25">
      <c r="A4" s="403" t="s">
        <v>292</v>
      </c>
      <c r="B4" s="996" t="s">
        <v>36</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Z7" s="401"/>
      <c r="AA7" s="402"/>
      <c r="AB7" s="357"/>
    </row>
    <row r="8" spans="1:28" ht="24" customHeight="1" x14ac:dyDescent="0.25">
      <c r="A8" s="154" t="s">
        <v>1</v>
      </c>
      <c r="B8" s="996" t="s">
        <v>35</v>
      </c>
      <c r="C8" s="996"/>
      <c r="D8" s="996"/>
      <c r="E8" s="996"/>
      <c r="G8" s="997" t="s">
        <v>936</v>
      </c>
      <c r="Z8" s="1028" t="s">
        <v>611</v>
      </c>
      <c r="AA8" s="1029"/>
      <c r="AB8" s="357">
        <v>0.26819999999999999</v>
      </c>
    </row>
    <row r="9" spans="1:28" ht="24" customHeight="1" x14ac:dyDescent="0.25">
      <c r="A9" s="154" t="s">
        <v>0</v>
      </c>
      <c r="B9" s="996" t="s">
        <v>1299</v>
      </c>
      <c r="C9" s="996"/>
      <c r="D9" s="996"/>
      <c r="E9" s="996"/>
      <c r="G9" s="997"/>
      <c r="Z9" s="1028" t="s">
        <v>612</v>
      </c>
      <c r="AA9" s="1029"/>
      <c r="AB9" s="357">
        <v>3.1300000000000001E-2</v>
      </c>
    </row>
    <row r="10" spans="1:28" ht="54" customHeight="1" x14ac:dyDescent="0.25">
      <c r="A10" s="154" t="s">
        <v>2</v>
      </c>
      <c r="B10" s="1008" t="s">
        <v>381</v>
      </c>
      <c r="C10" s="1008"/>
      <c r="D10" s="1008"/>
      <c r="E10" s="1008"/>
      <c r="G10" s="997"/>
      <c r="H10" s="7"/>
      <c r="Z10" s="1028"/>
      <c r="AA10" s="1029"/>
      <c r="AB10" s="357"/>
    </row>
    <row r="11" spans="1:28" ht="54" customHeight="1" x14ac:dyDescent="0.25">
      <c r="A11" s="154" t="s">
        <v>29</v>
      </c>
      <c r="B11" s="153" t="s">
        <v>382</v>
      </c>
      <c r="C11" s="153"/>
      <c r="D11" s="153"/>
      <c r="E11" s="153"/>
      <c r="G11" s="254">
        <v>2000</v>
      </c>
      <c r="H11" s="225" t="s">
        <v>25</v>
      </c>
      <c r="Z11" s="1028" t="s">
        <v>613</v>
      </c>
      <c r="AA11" s="1029"/>
      <c r="AB11" s="357">
        <v>0.26819999999999999</v>
      </c>
    </row>
    <row r="12" spans="1:28" ht="30" customHeight="1" x14ac:dyDescent="0.25">
      <c r="A12" s="154" t="s">
        <v>14</v>
      </c>
      <c r="B12" s="1010" t="s">
        <v>939</v>
      </c>
      <c r="C12" s="1010"/>
      <c r="D12" s="1010"/>
      <c r="E12" s="1010"/>
      <c r="G12" s="225"/>
      <c r="H12" s="225" t="s">
        <v>7</v>
      </c>
      <c r="Z12" s="1028" t="s">
        <v>614</v>
      </c>
      <c r="AA12" s="1029"/>
      <c r="AB12" s="357">
        <v>1.18E-2</v>
      </c>
    </row>
    <row r="13" spans="1:28" ht="30" customHeight="1" x14ac:dyDescent="0.25">
      <c r="A13" s="154" t="s">
        <v>3</v>
      </c>
      <c r="B13" s="1011" t="s">
        <v>943</v>
      </c>
      <c r="C13" s="1011"/>
      <c r="D13" s="1011"/>
      <c r="E13" s="1011"/>
      <c r="Z13" s="1028" t="s">
        <v>615</v>
      </c>
      <c r="AA13" s="1029"/>
      <c r="AB13" s="358">
        <v>0.36854545454545451</v>
      </c>
    </row>
    <row r="14" spans="1:28" ht="30" customHeight="1" x14ac:dyDescent="0.25">
      <c r="A14" s="154" t="s">
        <v>15</v>
      </c>
      <c r="B14" s="1010" t="s">
        <v>383</v>
      </c>
      <c r="C14" s="1010"/>
      <c r="D14" s="1010"/>
      <c r="E14" s="1010"/>
      <c r="Z14" s="1028" t="s">
        <v>616</v>
      </c>
      <c r="AA14" s="1029"/>
      <c r="AB14" s="357">
        <v>0.26819999999999999</v>
      </c>
    </row>
    <row r="15" spans="1:28" ht="30" customHeight="1" x14ac:dyDescent="0.25">
      <c r="A15" s="154" t="s">
        <v>4</v>
      </c>
      <c r="B15" s="1010">
        <v>2020</v>
      </c>
      <c r="C15" s="1010"/>
      <c r="D15" s="1010"/>
      <c r="E15" s="1010"/>
      <c r="F15" s="33"/>
      <c r="Z15" s="1028" t="s">
        <v>578</v>
      </c>
      <c r="AA15" s="1029"/>
      <c r="AB15" s="357">
        <v>0.27700000000000002</v>
      </c>
    </row>
    <row r="16" spans="1:28" ht="30" customHeight="1" x14ac:dyDescent="0.25">
      <c r="A16" s="154" t="s">
        <v>5</v>
      </c>
      <c r="B16" s="1010">
        <v>2022</v>
      </c>
      <c r="C16" s="1010"/>
      <c r="D16" s="1010"/>
      <c r="E16" s="1010"/>
      <c r="F16" s="33"/>
      <c r="Z16" s="1028" t="s">
        <v>579</v>
      </c>
      <c r="AA16" s="1029"/>
      <c r="AB16" s="357">
        <v>0.20269999999999999</v>
      </c>
    </row>
    <row r="17" spans="1:9" ht="30" customHeight="1" x14ac:dyDescent="0.25">
      <c r="A17" s="154" t="s">
        <v>6</v>
      </c>
      <c r="B17" s="1000">
        <f>SUM(G11:L11)</f>
        <v>2000</v>
      </c>
      <c r="C17" s="1000"/>
      <c r="D17" s="1000"/>
      <c r="E17" s="1000"/>
      <c r="F17" s="34"/>
    </row>
    <row r="18" spans="1:9" ht="22.5" customHeight="1" x14ac:dyDescent="0.25">
      <c r="A18" s="154" t="s">
        <v>7</v>
      </c>
      <c r="B18" s="1000">
        <f>SUM(G12:L12)</f>
        <v>0</v>
      </c>
      <c r="C18" s="1000"/>
      <c r="D18" s="1000"/>
      <c r="E18" s="1000"/>
      <c r="F18" s="35"/>
    </row>
    <row r="19" spans="1:9" ht="23.25" x14ac:dyDescent="0.25">
      <c r="A19" s="99" t="s">
        <v>307</v>
      </c>
      <c r="B19" s="1039"/>
      <c r="C19" s="1040"/>
      <c r="D19" s="1040"/>
      <c r="E19" s="1040"/>
      <c r="F19" s="33"/>
      <c r="H19" s="2"/>
    </row>
    <row r="20" spans="1:9" ht="23.25" x14ac:dyDescent="0.25">
      <c r="A20" s="96" t="s">
        <v>306</v>
      </c>
      <c r="B20" s="1043"/>
      <c r="C20" s="1043"/>
      <c r="D20" s="1043"/>
      <c r="E20" s="1043"/>
      <c r="F20" s="36"/>
      <c r="H20" s="2"/>
    </row>
    <row r="21" spans="1:9" x14ac:dyDescent="0.25">
      <c r="A21" s="154" t="s">
        <v>8</v>
      </c>
      <c r="B21" s="1000">
        <v>1</v>
      </c>
      <c r="C21" s="1000"/>
      <c r="D21" s="1000"/>
      <c r="E21" s="1000"/>
      <c r="F21" s="33"/>
    </row>
    <row r="22" spans="1:9" x14ac:dyDescent="0.25">
      <c r="A22" s="154" t="s">
        <v>9</v>
      </c>
      <c r="B22" s="1000"/>
      <c r="C22" s="1000"/>
      <c r="D22" s="1000"/>
      <c r="E22" s="1000"/>
      <c r="F22" s="37"/>
    </row>
    <row r="23" spans="1:9" x14ac:dyDescent="0.25">
      <c r="A23" s="154" t="s">
        <v>301</v>
      </c>
      <c r="B23" s="1016">
        <f>B17/(B21+B22)</f>
        <v>2000</v>
      </c>
      <c r="C23" s="1016"/>
      <c r="D23" s="1016"/>
      <c r="E23" s="1016"/>
      <c r="F23" s="37"/>
    </row>
    <row r="24" spans="1:9" x14ac:dyDescent="0.25">
      <c r="A24" s="154" t="s">
        <v>302</v>
      </c>
      <c r="B24" s="1017">
        <f>(B17-B18)/(B21+B22)</f>
        <v>2000</v>
      </c>
      <c r="C24" s="1017"/>
      <c r="D24" s="1017"/>
      <c r="E24" s="1017"/>
      <c r="F24" s="38"/>
    </row>
    <row r="25" spans="1:9" ht="23.25" x14ac:dyDescent="0.25">
      <c r="A25" s="100" t="s">
        <v>305</v>
      </c>
      <c r="B25" s="1030">
        <v>0</v>
      </c>
      <c r="C25" s="1030"/>
      <c r="D25" s="1030"/>
      <c r="E25" s="1030"/>
      <c r="F25" s="39"/>
    </row>
    <row r="26" spans="1:9" x14ac:dyDescent="0.25">
      <c r="A26" s="101" t="s">
        <v>303</v>
      </c>
      <c r="B26" s="1021">
        <f>B25/'Objectifs CO2'!C11</f>
        <v>0</v>
      </c>
      <c r="C26" s="1021"/>
      <c r="D26" s="1021"/>
      <c r="E26" s="1021"/>
      <c r="F26" s="40"/>
    </row>
    <row r="27" spans="1:9" x14ac:dyDescent="0.25">
      <c r="A27" s="101" t="s">
        <v>304</v>
      </c>
      <c r="B27" s="1044">
        <f>B25/'Objectifs CO2'!C4</f>
        <v>0</v>
      </c>
      <c r="C27" s="1045"/>
      <c r="D27" s="1045"/>
      <c r="E27" s="1045"/>
      <c r="F27" s="41"/>
    </row>
    <row r="28" spans="1:9" x14ac:dyDescent="0.25">
      <c r="A28" s="101" t="s">
        <v>22</v>
      </c>
      <c r="B28" s="999"/>
      <c r="C28" s="999"/>
      <c r="D28" s="999"/>
      <c r="E28" s="999"/>
    </row>
    <row r="29" spans="1:9" x14ac:dyDescent="0.25">
      <c r="A29" s="101" t="s">
        <v>257</v>
      </c>
      <c r="B29" s="999"/>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8:E8"/>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G8:G10"/>
    <mergeCell ref="Z10:AA10"/>
    <mergeCell ref="Z16:AA16"/>
    <mergeCell ref="Z11:AA11"/>
    <mergeCell ref="Z12:AA12"/>
    <mergeCell ref="Z13:AA13"/>
    <mergeCell ref="Z14:AA14"/>
    <mergeCell ref="Z15:AA15"/>
    <mergeCell ref="G7:H7"/>
    <mergeCell ref="G5:H5"/>
    <mergeCell ref="G6:H6"/>
    <mergeCell ref="A1:E1"/>
    <mergeCell ref="B2:E2"/>
    <mergeCell ref="B31:D31"/>
    <mergeCell ref="B32:D32"/>
    <mergeCell ref="G32:I32"/>
    <mergeCell ref="B33:D33"/>
    <mergeCell ref="H33:I33"/>
    <mergeCell ref="G40:I40"/>
    <mergeCell ref="B34:D34"/>
    <mergeCell ref="H34:I34"/>
    <mergeCell ref="B35:D35"/>
    <mergeCell ref="H35:I35"/>
    <mergeCell ref="B36:D36"/>
    <mergeCell ref="B28:E28"/>
    <mergeCell ref="B29:E29"/>
    <mergeCell ref="B21:E21"/>
    <mergeCell ref="B22:E22"/>
    <mergeCell ref="B23:E23"/>
    <mergeCell ref="B24:E24"/>
    <mergeCell ref="B25:E25"/>
    <mergeCell ref="B26:E26"/>
    <mergeCell ref="B27:E27"/>
    <mergeCell ref="B4:E4"/>
    <mergeCell ref="B5:E5"/>
    <mergeCell ref="G2:H2"/>
    <mergeCell ref="B3:E3"/>
    <mergeCell ref="G3:H3"/>
    <mergeCell ref="B42:D42"/>
    <mergeCell ref="B44:D44"/>
    <mergeCell ref="B37:D37"/>
    <mergeCell ref="B38:D38"/>
    <mergeCell ref="B39:D39"/>
    <mergeCell ref="B40:D40"/>
    <mergeCell ref="B41:D41"/>
    <mergeCell ref="B6:E6"/>
    <mergeCell ref="B7:E7"/>
    <mergeCell ref="G4:H4"/>
    <mergeCell ref="B20:E20"/>
    <mergeCell ref="B9:E9"/>
    <mergeCell ref="B10:E10"/>
    <mergeCell ref="B12:E12"/>
    <mergeCell ref="B13:E13"/>
    <mergeCell ref="B14:E14"/>
    <mergeCell ref="B15:E15"/>
    <mergeCell ref="B16:E16"/>
    <mergeCell ref="B17:E17"/>
    <mergeCell ref="B18:E18"/>
    <mergeCell ref="B19:E19"/>
  </mergeCells>
  <conditionalFormatting sqref="B5">
    <cfRule type="containsText" dxfId="365" priority="1" operator="containsText" text="Terminé">
      <formula>NOT(ISERROR(SEARCH("Terminé",B5)))</formula>
    </cfRule>
    <cfRule type="containsText" dxfId="364" priority="2" operator="containsText" text="En cours">
      <formula>NOT(ISERROR(SEARCH("En cours",B5)))</formula>
    </cfRule>
    <cfRule type="containsText" dxfId="36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3" zoomScale="130" zoomScaleNormal="130" workbookViewId="0">
      <selection activeCell="B14" sqref="B14:E1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1001" t="s">
        <v>937</v>
      </c>
      <c r="B1" s="1001"/>
      <c r="C1" s="1001"/>
      <c r="D1" s="1001"/>
      <c r="E1" s="1001"/>
      <c r="F1" s="276"/>
      <c r="G1" s="7"/>
      <c r="H1" s="7"/>
    </row>
    <row r="2" spans="1:28" ht="19.5" customHeight="1" x14ac:dyDescent="0.25">
      <c r="A2" s="412" t="s">
        <v>750</v>
      </c>
      <c r="B2" s="1002" t="s">
        <v>132</v>
      </c>
      <c r="C2" s="1002"/>
      <c r="D2" s="1002"/>
      <c r="E2" s="1002"/>
      <c r="F2" s="7"/>
      <c r="G2" s="986" t="s">
        <v>751</v>
      </c>
      <c r="H2" s="986"/>
    </row>
    <row r="3" spans="1:28" ht="19.5" customHeight="1" x14ac:dyDescent="0.25">
      <c r="A3" s="409" t="s">
        <v>743</v>
      </c>
      <c r="B3" s="987" t="s">
        <v>744</v>
      </c>
      <c r="C3" s="987"/>
      <c r="D3" s="987"/>
      <c r="E3" s="987"/>
      <c r="F3" s="7"/>
      <c r="G3" s="986" t="s">
        <v>752</v>
      </c>
      <c r="H3" s="986"/>
    </row>
    <row r="4" spans="1:28" ht="19.5" customHeight="1" x14ac:dyDescent="0.25">
      <c r="A4" s="403" t="s">
        <v>292</v>
      </c>
      <c r="B4" s="996" t="s">
        <v>54</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154" t="s">
        <v>1</v>
      </c>
      <c r="B8" s="996" t="s">
        <v>384</v>
      </c>
      <c r="C8" s="996"/>
      <c r="D8" s="996"/>
      <c r="E8" s="996"/>
      <c r="G8" s="997" t="s">
        <v>936</v>
      </c>
      <c r="Z8" s="1028" t="s">
        <v>611</v>
      </c>
      <c r="AA8" s="1029"/>
      <c r="AB8" s="357">
        <v>0.26819999999999999</v>
      </c>
    </row>
    <row r="9" spans="1:28" ht="24" customHeight="1" x14ac:dyDescent="0.25">
      <c r="A9" s="154" t="s">
        <v>0</v>
      </c>
      <c r="B9" s="996" t="s">
        <v>385</v>
      </c>
      <c r="C9" s="996"/>
      <c r="D9" s="996"/>
      <c r="E9" s="996"/>
      <c r="G9" s="997"/>
      <c r="Z9" s="1028" t="s">
        <v>612</v>
      </c>
      <c r="AA9" s="1029"/>
      <c r="AB9" s="357">
        <v>3.1300000000000001E-2</v>
      </c>
    </row>
    <row r="10" spans="1:28" ht="54" customHeight="1" x14ac:dyDescent="0.25">
      <c r="A10" s="154" t="s">
        <v>2</v>
      </c>
      <c r="B10" s="1008" t="s">
        <v>386</v>
      </c>
      <c r="C10" s="1008"/>
      <c r="D10" s="1008"/>
      <c r="E10" s="1008"/>
      <c r="G10" s="997"/>
      <c r="H10" s="7"/>
      <c r="Z10" s="1028"/>
      <c r="AA10" s="1029"/>
      <c r="AB10" s="357"/>
    </row>
    <row r="11" spans="1:28" ht="54" customHeight="1" x14ac:dyDescent="0.25">
      <c r="A11" s="154" t="s">
        <v>29</v>
      </c>
      <c r="B11" s="1035" t="s">
        <v>387</v>
      </c>
      <c r="C11" s="1035"/>
      <c r="D11" s="1035"/>
      <c r="E11" s="1035"/>
      <c r="G11" s="254">
        <v>2000</v>
      </c>
      <c r="H11" s="225" t="s">
        <v>25</v>
      </c>
      <c r="Z11" s="1028" t="s">
        <v>613</v>
      </c>
      <c r="AA11" s="1029"/>
      <c r="AB11" s="357">
        <v>0.26819999999999999</v>
      </c>
    </row>
    <row r="12" spans="1:28" ht="30" customHeight="1" x14ac:dyDescent="0.25">
      <c r="A12" s="154" t="s">
        <v>14</v>
      </c>
      <c r="B12" s="1010" t="s">
        <v>939</v>
      </c>
      <c r="C12" s="1010"/>
      <c r="D12" s="1010"/>
      <c r="E12" s="1010"/>
      <c r="G12" s="225"/>
      <c r="H12" s="225" t="s">
        <v>7</v>
      </c>
      <c r="Z12" s="1028" t="s">
        <v>614</v>
      </c>
      <c r="AA12" s="1029"/>
      <c r="AB12" s="357">
        <v>1.18E-2</v>
      </c>
    </row>
    <row r="13" spans="1:28" ht="30" customHeight="1" x14ac:dyDescent="0.25">
      <c r="A13" s="154" t="s">
        <v>3</v>
      </c>
      <c r="B13" s="1011" t="s">
        <v>943</v>
      </c>
      <c r="C13" s="1011"/>
      <c r="D13" s="1011"/>
      <c r="E13" s="1011"/>
      <c r="Z13" s="1028" t="s">
        <v>615</v>
      </c>
      <c r="AA13" s="1029"/>
      <c r="AB13" s="358">
        <v>0.36854545454545451</v>
      </c>
    </row>
    <row r="14" spans="1:28" ht="30" customHeight="1" x14ac:dyDescent="0.25">
      <c r="A14" s="154" t="s">
        <v>15</v>
      </c>
      <c r="B14" s="1010"/>
      <c r="C14" s="1010"/>
      <c r="D14" s="1010"/>
      <c r="E14" s="1010"/>
      <c r="Z14" s="1028" t="s">
        <v>616</v>
      </c>
      <c r="AA14" s="1029"/>
      <c r="AB14" s="357">
        <v>0.26819999999999999</v>
      </c>
    </row>
    <row r="15" spans="1:28" ht="30" customHeight="1" x14ac:dyDescent="0.25">
      <c r="A15" s="154" t="s">
        <v>4</v>
      </c>
      <c r="B15" s="1010">
        <v>2020</v>
      </c>
      <c r="C15" s="1010"/>
      <c r="D15" s="1010"/>
      <c r="E15" s="1010"/>
      <c r="F15" s="33"/>
      <c r="Z15" s="1028" t="s">
        <v>578</v>
      </c>
      <c r="AA15" s="1029"/>
      <c r="AB15" s="357">
        <v>0.27700000000000002</v>
      </c>
    </row>
    <row r="16" spans="1:28" ht="30" customHeight="1" x14ac:dyDescent="0.25">
      <c r="A16" s="154" t="s">
        <v>5</v>
      </c>
      <c r="B16" s="1010">
        <v>2022</v>
      </c>
      <c r="C16" s="1010"/>
      <c r="D16" s="1010"/>
      <c r="E16" s="1010"/>
      <c r="F16" s="33"/>
      <c r="Z16" s="1028" t="s">
        <v>579</v>
      </c>
      <c r="AA16" s="1029"/>
      <c r="AB16" s="357">
        <v>0.20269999999999999</v>
      </c>
    </row>
    <row r="17" spans="1:9" ht="30" customHeight="1" x14ac:dyDescent="0.25">
      <c r="A17" s="154" t="s">
        <v>6</v>
      </c>
      <c r="B17" s="1000">
        <f>SUM(G11:L11)</f>
        <v>2000</v>
      </c>
      <c r="C17" s="1000"/>
      <c r="D17" s="1000"/>
      <c r="E17" s="1000"/>
      <c r="F17" s="34"/>
    </row>
    <row r="18" spans="1:9" ht="23.25" customHeight="1" x14ac:dyDescent="0.25">
      <c r="A18" s="154" t="s">
        <v>7</v>
      </c>
      <c r="B18" s="1000">
        <f>SUM(G12:L12)</f>
        <v>0</v>
      </c>
      <c r="C18" s="1000"/>
      <c r="D18" s="1000"/>
      <c r="E18" s="1000"/>
      <c r="F18" s="35"/>
    </row>
    <row r="19" spans="1:9" ht="23.25" x14ac:dyDescent="0.25">
      <c r="A19" s="99" t="s">
        <v>307</v>
      </c>
      <c r="B19" s="1039"/>
      <c r="C19" s="1040"/>
      <c r="D19" s="1040"/>
      <c r="E19" s="1040"/>
      <c r="F19" s="33"/>
      <c r="H19" s="2"/>
    </row>
    <row r="20" spans="1:9" ht="23.25" x14ac:dyDescent="0.25">
      <c r="A20" s="96" t="s">
        <v>306</v>
      </c>
      <c r="B20" s="1043"/>
      <c r="C20" s="1043"/>
      <c r="D20" s="1043"/>
      <c r="E20" s="1043"/>
      <c r="F20" s="36"/>
      <c r="H20" s="2"/>
    </row>
    <row r="21" spans="1:9" x14ac:dyDescent="0.25">
      <c r="A21" s="154" t="s">
        <v>8</v>
      </c>
      <c r="B21" s="1000">
        <v>1</v>
      </c>
      <c r="C21" s="1000"/>
      <c r="D21" s="1000"/>
      <c r="E21" s="1000"/>
      <c r="F21" s="33"/>
    </row>
    <row r="22" spans="1:9" x14ac:dyDescent="0.25">
      <c r="A22" s="154" t="s">
        <v>9</v>
      </c>
      <c r="B22" s="1000"/>
      <c r="C22" s="1000"/>
      <c r="D22" s="1000"/>
      <c r="E22" s="1000"/>
      <c r="F22" s="37"/>
    </row>
    <row r="23" spans="1:9" x14ac:dyDescent="0.25">
      <c r="A23" s="154" t="s">
        <v>301</v>
      </c>
      <c r="B23" s="1016">
        <f>B17/(B21+B22)</f>
        <v>2000</v>
      </c>
      <c r="C23" s="1016"/>
      <c r="D23" s="1016"/>
      <c r="E23" s="1016"/>
      <c r="F23" s="37"/>
    </row>
    <row r="24" spans="1:9" x14ac:dyDescent="0.25">
      <c r="A24" s="154" t="s">
        <v>302</v>
      </c>
      <c r="B24" s="1017">
        <f>(B17-B18)/(B21+B22)</f>
        <v>2000</v>
      </c>
      <c r="C24" s="1017"/>
      <c r="D24" s="1017"/>
      <c r="E24" s="1017"/>
      <c r="F24" s="38"/>
    </row>
    <row r="25" spans="1:9" ht="23.25" x14ac:dyDescent="0.25">
      <c r="A25" s="100" t="s">
        <v>305</v>
      </c>
      <c r="B25" s="1030">
        <v>0</v>
      </c>
      <c r="C25" s="1030"/>
      <c r="D25" s="1030"/>
      <c r="E25" s="1030"/>
      <c r="F25" s="39"/>
    </row>
    <row r="26" spans="1:9" x14ac:dyDescent="0.25">
      <c r="A26" s="101" t="s">
        <v>303</v>
      </c>
      <c r="B26" s="1021">
        <f>B25/'Objectifs CO2'!C11</f>
        <v>0</v>
      </c>
      <c r="C26" s="1021"/>
      <c r="D26" s="1021"/>
      <c r="E26" s="1021"/>
      <c r="F26" s="40"/>
    </row>
    <row r="27" spans="1:9" x14ac:dyDescent="0.25">
      <c r="A27" s="101" t="s">
        <v>304</v>
      </c>
      <c r="B27" s="1044">
        <f>B25/'Objectifs CO2'!C4</f>
        <v>0</v>
      </c>
      <c r="C27" s="1045"/>
      <c r="D27" s="1045"/>
      <c r="E27" s="1045"/>
      <c r="F27" s="41"/>
    </row>
    <row r="28" spans="1:9" x14ac:dyDescent="0.25">
      <c r="A28" s="101" t="s">
        <v>22</v>
      </c>
      <c r="B28" s="999"/>
      <c r="C28" s="999"/>
      <c r="D28" s="999"/>
      <c r="E28" s="999"/>
    </row>
    <row r="29" spans="1:9" x14ac:dyDescent="0.25">
      <c r="A29" s="101" t="s">
        <v>257</v>
      </c>
      <c r="B29" s="999"/>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8:G10"/>
    <mergeCell ref="B4:E4"/>
    <mergeCell ref="B5:E5"/>
    <mergeCell ref="B6:E6"/>
    <mergeCell ref="B7:E7"/>
    <mergeCell ref="G7:H7"/>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A1:E1"/>
    <mergeCell ref="B2:E2"/>
    <mergeCell ref="B31:D31"/>
    <mergeCell ref="B32:D32"/>
    <mergeCell ref="G32:I32"/>
    <mergeCell ref="B33:D33"/>
    <mergeCell ref="H33:I33"/>
    <mergeCell ref="G40:I40"/>
    <mergeCell ref="B34:D34"/>
    <mergeCell ref="H34:I34"/>
    <mergeCell ref="B35:D35"/>
    <mergeCell ref="H35:I35"/>
    <mergeCell ref="B36:D36"/>
    <mergeCell ref="B20:E20"/>
    <mergeCell ref="B9:E9"/>
    <mergeCell ref="B10:E10"/>
    <mergeCell ref="B11:E11"/>
    <mergeCell ref="B12:E12"/>
    <mergeCell ref="B13:E13"/>
    <mergeCell ref="B14:E14"/>
    <mergeCell ref="B15:E15"/>
    <mergeCell ref="B16:E16"/>
    <mergeCell ref="B17:E17"/>
    <mergeCell ref="B18:E18"/>
    <mergeCell ref="G2:H2"/>
    <mergeCell ref="B3:E3"/>
    <mergeCell ref="G3:H3"/>
    <mergeCell ref="B42:D42"/>
    <mergeCell ref="B44:D44"/>
    <mergeCell ref="B37:D37"/>
    <mergeCell ref="B38:D38"/>
    <mergeCell ref="B39:D39"/>
    <mergeCell ref="B40:D40"/>
    <mergeCell ref="B41:D41"/>
    <mergeCell ref="B19:E19"/>
    <mergeCell ref="B28:E28"/>
    <mergeCell ref="B29:E29"/>
    <mergeCell ref="B21:E21"/>
    <mergeCell ref="B22:E22"/>
    <mergeCell ref="B23:E23"/>
    <mergeCell ref="B24:E24"/>
    <mergeCell ref="B25:E25"/>
    <mergeCell ref="B26:E26"/>
    <mergeCell ref="B27:E27"/>
    <mergeCell ref="B8:E8"/>
    <mergeCell ref="G4:H4"/>
    <mergeCell ref="G5:H5"/>
    <mergeCell ref="G6:H6"/>
  </mergeCells>
  <conditionalFormatting sqref="B5">
    <cfRule type="containsText" dxfId="362" priority="1" operator="containsText" text="Terminé">
      <formula>NOT(ISERROR(SEARCH("Terminé",B5)))</formula>
    </cfRule>
    <cfRule type="containsText" dxfId="361" priority="2" operator="containsText" text="En cours">
      <formula>NOT(ISERROR(SEARCH("En cours",B5)))</formula>
    </cfRule>
    <cfRule type="containsText" dxfId="36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9"/>
  <sheetViews>
    <sheetView topLeftCell="B10" zoomScale="115" zoomScaleNormal="115" workbookViewId="0">
      <selection activeCell="B13" sqref="B13:E13"/>
    </sheetView>
  </sheetViews>
  <sheetFormatPr baseColWidth="10" defaultColWidth="11.42578125" defaultRowHeight="23.25" customHeight="1"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6.25" x14ac:dyDescent="0.4">
      <c r="A1" s="1001" t="s">
        <v>937</v>
      </c>
      <c r="B1" s="1001"/>
      <c r="C1" s="1001"/>
      <c r="D1" s="1001"/>
      <c r="E1" s="1001"/>
      <c r="F1" s="276"/>
      <c r="G1" s="7"/>
      <c r="H1" s="7"/>
    </row>
    <row r="2" spans="1:28" ht="19.5" customHeight="1" x14ac:dyDescent="0.25">
      <c r="A2" s="412" t="s">
        <v>750</v>
      </c>
      <c r="B2" s="1002" t="s">
        <v>131</v>
      </c>
      <c r="C2" s="1002"/>
      <c r="D2" s="1002"/>
      <c r="E2" s="1002"/>
      <c r="F2" s="7"/>
      <c r="G2" s="986" t="s">
        <v>751</v>
      </c>
      <c r="H2" s="986"/>
    </row>
    <row r="3" spans="1:28" ht="19.5" customHeight="1" x14ac:dyDescent="0.25">
      <c r="A3" s="409" t="s">
        <v>743</v>
      </c>
      <c r="B3" s="987" t="s">
        <v>744</v>
      </c>
      <c r="C3" s="987"/>
      <c r="D3" s="987"/>
      <c r="E3" s="987"/>
      <c r="F3" s="7"/>
      <c r="G3" s="986" t="s">
        <v>752</v>
      </c>
      <c r="H3" s="986"/>
    </row>
    <row r="4" spans="1:28" ht="19.5" customHeight="1" x14ac:dyDescent="0.25">
      <c r="A4" s="403" t="s">
        <v>292</v>
      </c>
      <c r="B4" s="996" t="s">
        <v>37</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83</v>
      </c>
      <c r="C8" s="967"/>
      <c r="D8" s="967"/>
      <c r="E8" s="967"/>
      <c r="G8" s="997" t="s">
        <v>936</v>
      </c>
      <c r="H8" s="6"/>
      <c r="I8" s="6"/>
      <c r="J8" s="6"/>
      <c r="K8" s="6"/>
      <c r="L8" s="6"/>
      <c r="M8" s="6"/>
      <c r="Z8" s="1028" t="s">
        <v>611</v>
      </c>
      <c r="AA8" s="1029"/>
      <c r="AB8" s="357">
        <v>0.26819999999999999</v>
      </c>
    </row>
    <row r="9" spans="1:28" ht="24" customHeight="1" x14ac:dyDescent="0.25">
      <c r="A9" s="98" t="s">
        <v>0</v>
      </c>
      <c r="B9" s="967" t="s">
        <v>851</v>
      </c>
      <c r="C9" s="967"/>
      <c r="D9" s="967"/>
      <c r="E9" s="967"/>
      <c r="G9" s="997"/>
      <c r="H9" s="6"/>
      <c r="I9" s="6"/>
      <c r="J9" s="6"/>
      <c r="K9" s="6"/>
      <c r="L9" s="6"/>
      <c r="M9" s="6"/>
      <c r="Z9" s="1028" t="s">
        <v>612</v>
      </c>
      <c r="AA9" s="1029"/>
      <c r="AB9" s="357">
        <v>3.1300000000000001E-2</v>
      </c>
    </row>
    <row r="10" spans="1:28" ht="54" customHeight="1" x14ac:dyDescent="0.25">
      <c r="A10" s="102" t="s">
        <v>2</v>
      </c>
      <c r="B10" s="1034" t="s">
        <v>758</v>
      </c>
      <c r="C10" s="1034"/>
      <c r="D10" s="1034"/>
      <c r="E10" s="1034"/>
      <c r="G10" s="997"/>
      <c r="H10" s="7"/>
      <c r="I10" s="6"/>
      <c r="J10" s="6"/>
      <c r="K10" s="6"/>
      <c r="L10" s="6"/>
      <c r="M10" s="6"/>
      <c r="Z10" s="1028"/>
      <c r="AA10" s="1029"/>
      <c r="AB10" s="357"/>
    </row>
    <row r="11" spans="1:28" ht="54" customHeight="1" x14ac:dyDescent="0.25">
      <c r="A11" s="102" t="s">
        <v>29</v>
      </c>
      <c r="B11" s="1034" t="s">
        <v>1300</v>
      </c>
      <c r="C11" s="1034"/>
      <c r="D11" s="1034"/>
      <c r="E11" s="1034"/>
      <c r="G11" s="254">
        <v>1000</v>
      </c>
      <c r="H11" s="225" t="s">
        <v>25</v>
      </c>
      <c r="I11" s="6"/>
      <c r="J11" s="6"/>
      <c r="K11" s="6"/>
      <c r="L11" s="6"/>
      <c r="M11" s="6"/>
      <c r="Z11" s="1028" t="s">
        <v>613</v>
      </c>
      <c r="AA11" s="1029"/>
      <c r="AB11" s="357">
        <v>0.26819999999999999</v>
      </c>
    </row>
    <row r="12" spans="1:28" ht="30" customHeight="1" x14ac:dyDescent="0.25">
      <c r="A12" s="102" t="s">
        <v>14</v>
      </c>
      <c r="B12" s="1010" t="s">
        <v>939</v>
      </c>
      <c r="C12" s="1010"/>
      <c r="D12" s="1010"/>
      <c r="E12" s="1010"/>
      <c r="G12" s="225"/>
      <c r="H12" s="225" t="s">
        <v>7</v>
      </c>
      <c r="I12" s="6"/>
      <c r="J12" s="6"/>
      <c r="K12" s="6"/>
      <c r="L12" s="6"/>
      <c r="M12" s="6"/>
      <c r="Z12" s="1028" t="s">
        <v>614</v>
      </c>
      <c r="AA12" s="1029"/>
      <c r="AB12" s="357">
        <v>1.18E-2</v>
      </c>
    </row>
    <row r="13" spans="1:28" ht="30" customHeight="1" x14ac:dyDescent="0.2">
      <c r="A13" s="102" t="s">
        <v>3</v>
      </c>
      <c r="B13" s="1011" t="s">
        <v>943</v>
      </c>
      <c r="C13" s="1011"/>
      <c r="D13" s="1011"/>
      <c r="E13" s="1011"/>
      <c r="Z13" s="1028" t="s">
        <v>615</v>
      </c>
      <c r="AA13" s="1029"/>
      <c r="AB13" s="358">
        <v>0.36854545454545451</v>
      </c>
    </row>
    <row r="14" spans="1:28" ht="30" customHeight="1" x14ac:dyDescent="0.2">
      <c r="A14" s="102" t="s">
        <v>15</v>
      </c>
      <c r="B14" s="1010"/>
      <c r="C14" s="1010"/>
      <c r="D14" s="1010"/>
      <c r="E14" s="1010"/>
      <c r="Z14" s="1028" t="s">
        <v>616</v>
      </c>
      <c r="AA14" s="1029"/>
      <c r="AB14" s="357">
        <v>0.26819999999999999</v>
      </c>
    </row>
    <row r="15" spans="1:28" ht="30" customHeight="1" x14ac:dyDescent="0.2">
      <c r="A15" s="102" t="s">
        <v>4</v>
      </c>
      <c r="B15" s="1010">
        <v>2017</v>
      </c>
      <c r="C15" s="1010"/>
      <c r="D15" s="1010"/>
      <c r="E15" s="1010"/>
      <c r="Z15" s="1028" t="s">
        <v>578</v>
      </c>
      <c r="AA15" s="1029"/>
      <c r="AB15" s="357">
        <v>0.27700000000000002</v>
      </c>
    </row>
    <row r="16" spans="1:28" ht="30" customHeight="1" x14ac:dyDescent="0.2">
      <c r="A16" s="102" t="s">
        <v>5</v>
      </c>
      <c r="B16" s="1010">
        <v>2018</v>
      </c>
      <c r="C16" s="1010"/>
      <c r="D16" s="1010"/>
      <c r="E16" s="1010"/>
      <c r="Z16" s="1028" t="s">
        <v>579</v>
      </c>
      <c r="AA16" s="1029"/>
      <c r="AB16" s="357">
        <v>0.20269999999999999</v>
      </c>
    </row>
    <row r="17" spans="1:9" ht="30" customHeight="1" x14ac:dyDescent="0.25">
      <c r="A17" s="102" t="s">
        <v>6</v>
      </c>
      <c r="B17" s="1000">
        <f>SUM(G11:L11)</f>
        <v>1000</v>
      </c>
      <c r="C17" s="1000"/>
      <c r="D17" s="1000"/>
      <c r="E17" s="1000"/>
    </row>
    <row r="18" spans="1:9" ht="30" customHeight="1" x14ac:dyDescent="0.25">
      <c r="A18" s="102" t="s">
        <v>7</v>
      </c>
      <c r="B18" s="1000">
        <f>SUM(G12:L12)</f>
        <v>0</v>
      </c>
      <c r="C18" s="1000"/>
      <c r="D18" s="1000"/>
      <c r="E18" s="1000"/>
    </row>
    <row r="19" spans="1:9" ht="30" customHeight="1" x14ac:dyDescent="0.25">
      <c r="A19" s="99" t="s">
        <v>307</v>
      </c>
      <c r="B19" s="1039"/>
      <c r="C19" s="1040"/>
      <c r="D19" s="1040"/>
      <c r="E19" s="1040"/>
      <c r="G19" s="10"/>
      <c r="H19" s="10"/>
    </row>
    <row r="20" spans="1:9" ht="30" customHeight="1" x14ac:dyDescent="0.25">
      <c r="A20" s="96" t="s">
        <v>306</v>
      </c>
      <c r="B20" s="1041"/>
      <c r="C20" s="1042"/>
      <c r="D20" s="1042"/>
      <c r="E20" s="1042"/>
      <c r="G20" s="10"/>
      <c r="H20" s="10"/>
    </row>
    <row r="21" spans="1:9" ht="30" customHeight="1" x14ac:dyDescent="0.25">
      <c r="A21" s="102" t="s">
        <v>8</v>
      </c>
      <c r="B21" s="1000">
        <v>1</v>
      </c>
      <c r="C21" s="1000"/>
      <c r="D21" s="1000"/>
      <c r="E21" s="1000"/>
      <c r="G21" s="10"/>
      <c r="H21" s="10"/>
    </row>
    <row r="22" spans="1:9" ht="30" customHeight="1" x14ac:dyDescent="0.25">
      <c r="A22" s="102" t="s">
        <v>9</v>
      </c>
      <c r="B22" s="1000"/>
      <c r="C22" s="1000"/>
      <c r="D22" s="1000"/>
      <c r="E22" s="1000"/>
      <c r="G22" s="10"/>
      <c r="H22" s="10"/>
    </row>
    <row r="23" spans="1:9" ht="30" customHeight="1" x14ac:dyDescent="0.25">
      <c r="A23" s="102" t="s">
        <v>301</v>
      </c>
      <c r="B23" s="1016">
        <f>B17/(B21+B22)</f>
        <v>1000</v>
      </c>
      <c r="C23" s="1016"/>
      <c r="D23" s="1016"/>
      <c r="E23" s="1016"/>
      <c r="G23" s="10"/>
      <c r="H23" s="10"/>
    </row>
    <row r="24" spans="1:9" ht="30" customHeight="1" x14ac:dyDescent="0.25">
      <c r="A24" s="102" t="s">
        <v>302</v>
      </c>
      <c r="B24" s="1017">
        <f>(B17-B18)/(B21+B22)</f>
        <v>1000</v>
      </c>
      <c r="C24" s="1017"/>
      <c r="D24" s="1017"/>
      <c r="E24" s="1017"/>
      <c r="G24" s="10"/>
      <c r="H24" s="10"/>
    </row>
    <row r="25" spans="1:9" ht="30" customHeight="1" x14ac:dyDescent="0.25">
      <c r="A25" s="103" t="s">
        <v>305</v>
      </c>
      <c r="B25" s="1018">
        <f>B19*G25/1000</f>
        <v>0</v>
      </c>
      <c r="C25" s="1018"/>
      <c r="D25" s="1018"/>
      <c r="E25" s="1018"/>
      <c r="G25" s="10"/>
      <c r="H25" s="10"/>
    </row>
    <row r="26" spans="1:9" ht="30" customHeight="1" x14ac:dyDescent="0.25">
      <c r="A26" s="104" t="s">
        <v>303</v>
      </c>
      <c r="B26" s="1019">
        <f>B25/'Objectifs CO2'!C11</f>
        <v>0</v>
      </c>
      <c r="C26" s="1019"/>
      <c r="D26" s="1019"/>
      <c r="E26" s="1019"/>
    </row>
    <row r="27" spans="1:9" ht="30" customHeight="1" x14ac:dyDescent="0.25">
      <c r="A27" s="104" t="s">
        <v>304</v>
      </c>
      <c r="B27" s="1020">
        <f>B25/'Objectifs CO2'!C4</f>
        <v>0</v>
      </c>
      <c r="C27" s="1021"/>
      <c r="D27" s="1021"/>
      <c r="E27" s="1021"/>
    </row>
    <row r="28" spans="1:9" ht="30" customHeight="1" x14ac:dyDescent="0.25">
      <c r="A28" s="104"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6" t="s">
        <v>676</v>
      </c>
      <c r="F31" s="6"/>
      <c r="G31" s="6"/>
      <c r="H31" s="6"/>
      <c r="I31" s="6"/>
    </row>
    <row r="32" spans="1:9" ht="23.25" customHeight="1" x14ac:dyDescent="0.25">
      <c r="A32" s="377"/>
      <c r="B32" s="992" t="s">
        <v>677</v>
      </c>
      <c r="C32" s="992"/>
      <c r="D32" s="992"/>
      <c r="E32" s="374"/>
      <c r="F32" s="6"/>
      <c r="G32" s="1004" t="s">
        <v>676</v>
      </c>
      <c r="H32" s="1004"/>
      <c r="I32" s="1004"/>
    </row>
    <row r="33" spans="1:12" ht="23.25" customHeight="1" x14ac:dyDescent="0.25">
      <c r="A33" s="377"/>
      <c r="B33" s="992" t="s">
        <v>678</v>
      </c>
      <c r="C33" s="992"/>
      <c r="D33" s="992"/>
      <c r="E33" s="374"/>
      <c r="F33" s="6"/>
      <c r="G33" s="375">
        <v>3</v>
      </c>
      <c r="H33" s="1004" t="s">
        <v>679</v>
      </c>
      <c r="I33" s="1004"/>
    </row>
    <row r="34" spans="1:12" ht="23.25" customHeight="1" x14ac:dyDescent="0.25">
      <c r="A34" s="377"/>
      <c r="B34" s="992" t="s">
        <v>680</v>
      </c>
      <c r="C34" s="992"/>
      <c r="D34" s="992"/>
      <c r="E34" s="374"/>
      <c r="F34" s="6"/>
      <c r="G34" s="375">
        <v>2</v>
      </c>
      <c r="H34" s="1004" t="s">
        <v>681</v>
      </c>
      <c r="I34" s="1004"/>
    </row>
    <row r="35" spans="1:12" ht="23.25" customHeight="1" x14ac:dyDescent="0.25">
      <c r="A35" s="377"/>
      <c r="B35" s="992" t="s">
        <v>682</v>
      </c>
      <c r="C35" s="992"/>
      <c r="D35" s="992"/>
      <c r="E35" s="374"/>
      <c r="F35" s="6"/>
      <c r="G35" s="375">
        <v>1</v>
      </c>
      <c r="H35" s="1004" t="s">
        <v>683</v>
      </c>
      <c r="I35" s="1004"/>
    </row>
    <row r="36" spans="1:12" ht="23.25" customHeight="1" x14ac:dyDescent="0.25">
      <c r="A36" s="377"/>
      <c r="B36" s="992" t="s">
        <v>684</v>
      </c>
      <c r="C36" s="992"/>
      <c r="D36" s="992"/>
      <c r="E36" s="374"/>
      <c r="F36" s="6"/>
      <c r="G36" s="6"/>
      <c r="H36" s="6"/>
      <c r="I36" s="6"/>
    </row>
    <row r="37" spans="1:12" ht="23.25" customHeight="1" x14ac:dyDescent="0.25">
      <c r="A37" s="377"/>
      <c r="B37" s="992" t="s">
        <v>685</v>
      </c>
      <c r="C37" s="992"/>
      <c r="D37" s="992"/>
      <c r="E37" s="374"/>
      <c r="F37" s="6"/>
      <c r="G37" s="6"/>
      <c r="H37" s="6"/>
      <c r="I37" s="6"/>
    </row>
    <row r="38" spans="1:12" ht="23.25" customHeight="1" x14ac:dyDescent="0.25">
      <c r="A38" s="377"/>
      <c r="B38" s="992" t="s">
        <v>686</v>
      </c>
      <c r="C38" s="992"/>
      <c r="D38" s="992"/>
      <c r="E38" s="374"/>
      <c r="F38" s="6"/>
      <c r="G38" s="6"/>
      <c r="H38" s="6"/>
      <c r="I38" s="6"/>
    </row>
    <row r="39" spans="1:12" ht="23.25" customHeight="1" x14ac:dyDescent="0.25">
      <c r="A39" s="377"/>
      <c r="B39" s="992" t="s">
        <v>687</v>
      </c>
      <c r="C39" s="992"/>
      <c r="D39" s="992"/>
      <c r="E39" s="374"/>
      <c r="F39" s="6"/>
      <c r="G39" s="6"/>
      <c r="H39" s="6"/>
      <c r="I39" s="6"/>
    </row>
    <row r="40" spans="1:12" ht="23.25" customHeight="1" x14ac:dyDescent="0.25">
      <c r="A40" s="377"/>
      <c r="B40" s="992" t="s">
        <v>688</v>
      </c>
      <c r="C40" s="992"/>
      <c r="D40" s="992"/>
      <c r="E40" s="374"/>
      <c r="F40" s="6"/>
      <c r="G40" s="1005" t="s">
        <v>689</v>
      </c>
      <c r="H40" s="1005"/>
      <c r="I40" s="1005"/>
    </row>
    <row r="41" spans="1:12" ht="23.25" customHeight="1" x14ac:dyDescent="0.25">
      <c r="A41" s="377"/>
      <c r="B41" s="992" t="s">
        <v>843</v>
      </c>
      <c r="C41" s="992"/>
      <c r="D41" s="992"/>
      <c r="E41" s="374"/>
      <c r="F41" s="6"/>
      <c r="G41" s="377" t="s">
        <v>690</v>
      </c>
      <c r="H41" s="378" t="s">
        <v>691</v>
      </c>
      <c r="I41" s="377" t="s">
        <v>692</v>
      </c>
    </row>
    <row r="42" spans="1:12" ht="23.25" customHeight="1" x14ac:dyDescent="0.25">
      <c r="A42" s="377"/>
      <c r="B42" s="988" t="s">
        <v>247</v>
      </c>
      <c r="C42" s="988"/>
      <c r="D42" s="988"/>
      <c r="E42" s="376">
        <f>SUM(E32:E40)</f>
        <v>0</v>
      </c>
      <c r="F42" s="6"/>
      <c r="G42" s="377" t="s">
        <v>693</v>
      </c>
      <c r="H42" s="377" t="s">
        <v>694</v>
      </c>
      <c r="I42" s="377" t="s">
        <v>695</v>
      </c>
    </row>
    <row r="43" spans="1:12" ht="23.25" customHeight="1" x14ac:dyDescent="0.25">
      <c r="B43" s="6"/>
      <c r="C43" s="6"/>
      <c r="D43" s="6"/>
      <c r="E43" s="94" t="s">
        <v>730</v>
      </c>
      <c r="F43" s="6"/>
      <c r="G43" s="6"/>
      <c r="H43" s="6"/>
      <c r="I43" s="6"/>
    </row>
    <row r="44" spans="1:12" ht="23.25" customHeight="1" x14ac:dyDescent="0.25">
      <c r="B44" s="989" t="s">
        <v>696</v>
      </c>
      <c r="C44" s="990"/>
      <c r="D44" s="991"/>
      <c r="E44" s="267">
        <v>1</v>
      </c>
      <c r="F44" s="6"/>
      <c r="G44" s="377">
        <v>1</v>
      </c>
      <c r="H44" s="377" t="s">
        <v>697</v>
      </c>
      <c r="I44" s="6"/>
    </row>
    <row r="45" spans="1:12" ht="23.25" customHeight="1" x14ac:dyDescent="0.25">
      <c r="B45" s="6"/>
      <c r="C45" s="6"/>
      <c r="D45" s="6"/>
      <c r="E45" s="6"/>
      <c r="F45" s="6"/>
      <c r="G45" s="377">
        <v>0</v>
      </c>
      <c r="H45" s="377" t="s">
        <v>698</v>
      </c>
      <c r="I45" s="6"/>
    </row>
    <row r="46" spans="1:12" ht="23.25" customHeight="1" x14ac:dyDescent="0.25">
      <c r="A46" s="6"/>
      <c r="B46" s="6"/>
      <c r="C46" s="6"/>
      <c r="D46" s="6"/>
      <c r="E46" s="6"/>
      <c r="F46" s="6"/>
      <c r="G46" s="1022" t="s">
        <v>965</v>
      </c>
      <c r="H46" s="1022"/>
      <c r="I46" s="1022"/>
      <c r="J46" s="1022"/>
      <c r="K46" s="1022"/>
      <c r="L46" s="1022"/>
    </row>
    <row r="47" spans="1:12" ht="23.25" customHeight="1" x14ac:dyDescent="0.25">
      <c r="A47" s="959" t="s">
        <v>966</v>
      </c>
      <c r="B47" s="1022"/>
      <c r="C47" s="1022"/>
      <c r="D47" s="1022"/>
      <c r="E47" s="1022"/>
      <c r="F47" s="1022"/>
      <c r="G47" s="1022"/>
      <c r="H47" s="1022"/>
      <c r="I47" s="1022"/>
      <c r="J47" s="1022"/>
      <c r="K47" s="1022"/>
      <c r="L47" s="1022"/>
    </row>
    <row r="48" spans="1:12" ht="23.25" customHeight="1" x14ac:dyDescent="0.25">
      <c r="A48" s="959"/>
      <c r="B48" s="1022"/>
      <c r="C48" s="1022"/>
      <c r="D48" s="1022"/>
      <c r="E48" s="1022"/>
      <c r="F48" s="1022"/>
      <c r="G48" s="1022"/>
      <c r="H48" s="1022"/>
      <c r="I48" s="1022"/>
      <c r="J48" s="1022"/>
      <c r="K48" s="1022"/>
      <c r="L48" s="1022"/>
    </row>
    <row r="49" spans="1:12" ht="23.25" customHeight="1" x14ac:dyDescent="0.25">
      <c r="A49" s="959"/>
      <c r="B49" s="1022"/>
      <c r="C49" s="1022"/>
      <c r="D49" s="1022"/>
      <c r="E49" s="1022"/>
      <c r="F49" s="1022"/>
      <c r="G49" s="1022"/>
      <c r="H49" s="1022"/>
      <c r="I49" s="1022"/>
      <c r="J49" s="1022"/>
      <c r="K49" s="1022"/>
      <c r="L49" s="1022"/>
    </row>
    <row r="50" spans="1:12" ht="23.25" customHeight="1" x14ac:dyDescent="0.25">
      <c r="A50" s="959"/>
      <c r="B50" s="1022"/>
      <c r="C50" s="1022"/>
      <c r="D50" s="1022"/>
      <c r="E50" s="1022"/>
      <c r="F50" s="1022"/>
      <c r="G50" s="1022"/>
      <c r="H50" s="1022"/>
      <c r="I50" s="1022"/>
      <c r="J50" s="1022"/>
      <c r="K50" s="1022"/>
      <c r="L50" s="1022"/>
    </row>
    <row r="51" spans="1:12" ht="23.25" customHeight="1" x14ac:dyDescent="0.25">
      <c r="A51" s="959"/>
      <c r="B51" s="1022"/>
      <c r="C51" s="1022"/>
      <c r="D51" s="1022"/>
      <c r="E51" s="1022"/>
      <c r="F51" s="1022"/>
      <c r="G51" s="1022"/>
      <c r="H51" s="1022"/>
      <c r="I51" s="1022"/>
      <c r="J51" s="1022"/>
      <c r="K51" s="1022"/>
      <c r="L51" s="1022"/>
    </row>
    <row r="52" spans="1:12" ht="23.25" customHeight="1" x14ac:dyDescent="0.25">
      <c r="A52" s="959" t="s">
        <v>967</v>
      </c>
      <c r="B52" s="1022"/>
      <c r="C52" s="1022"/>
      <c r="D52" s="1022"/>
      <c r="E52" s="1022"/>
      <c r="F52" s="1022"/>
      <c r="G52" s="1022"/>
      <c r="H52" s="1022"/>
      <c r="I52" s="1022"/>
      <c r="J52" s="1022"/>
      <c r="K52" s="1022"/>
      <c r="L52" s="1022"/>
    </row>
    <row r="53" spans="1:12" ht="23.25" customHeight="1" x14ac:dyDescent="0.25">
      <c r="A53" s="959"/>
      <c r="B53" s="1022"/>
      <c r="C53" s="1022"/>
      <c r="D53" s="1022"/>
      <c r="E53" s="1022"/>
      <c r="F53" s="1022"/>
      <c r="G53" s="1022"/>
      <c r="H53" s="1022"/>
      <c r="I53" s="1022"/>
      <c r="J53" s="1022"/>
      <c r="K53" s="1022"/>
      <c r="L53" s="1022"/>
    </row>
    <row r="54" spans="1:12" ht="23.25" customHeight="1" x14ac:dyDescent="0.25">
      <c r="A54" s="959"/>
      <c r="B54" s="1022"/>
      <c r="C54" s="1022"/>
      <c r="D54" s="1022"/>
      <c r="E54" s="1022"/>
      <c r="F54" s="1022"/>
      <c r="G54" s="1022"/>
      <c r="H54" s="1022"/>
      <c r="I54" s="1022"/>
      <c r="J54" s="1022"/>
      <c r="K54" s="1022"/>
      <c r="L54" s="1022"/>
    </row>
    <row r="55" spans="1:12" ht="23.25" customHeight="1" x14ac:dyDescent="0.25">
      <c r="A55" s="959"/>
      <c r="B55" s="1022"/>
      <c r="C55" s="1022"/>
      <c r="D55" s="1022"/>
      <c r="E55" s="1022"/>
      <c r="F55" s="1022"/>
      <c r="G55" s="1022"/>
      <c r="H55" s="1022"/>
      <c r="I55" s="1022"/>
      <c r="J55" s="1022"/>
      <c r="K55" s="1022"/>
      <c r="L55" s="1022"/>
    </row>
    <row r="56" spans="1:12" ht="23.25" customHeight="1" x14ac:dyDescent="0.25">
      <c r="A56" s="959"/>
      <c r="B56" s="1022"/>
      <c r="C56" s="1022"/>
      <c r="D56" s="1022"/>
      <c r="E56" s="1022"/>
      <c r="F56" s="1022"/>
      <c r="G56" s="1022"/>
      <c r="H56" s="1022"/>
      <c r="I56" s="1022"/>
      <c r="J56" s="1022"/>
      <c r="K56" s="1022"/>
      <c r="L56" s="1022"/>
    </row>
    <row r="57" spans="1:12" ht="23.25" customHeight="1" x14ac:dyDescent="0.25">
      <c r="A57" s="959"/>
      <c r="B57" s="1022"/>
      <c r="C57" s="1022"/>
      <c r="D57" s="1022"/>
      <c r="E57" s="1022"/>
      <c r="F57" s="1022"/>
      <c r="G57" s="1022"/>
      <c r="H57" s="1022"/>
      <c r="I57" s="1022"/>
      <c r="J57" s="1022"/>
      <c r="K57" s="1022"/>
      <c r="L57" s="1022"/>
    </row>
    <row r="58" spans="1:12" ht="23.25" customHeight="1" x14ac:dyDescent="0.25">
      <c r="A58" s="959"/>
      <c r="B58" s="1022"/>
      <c r="C58" s="1022"/>
      <c r="D58" s="1022"/>
      <c r="E58" s="1022"/>
      <c r="F58" s="1022"/>
      <c r="G58" s="1022"/>
      <c r="H58" s="1022"/>
      <c r="I58" s="1022"/>
      <c r="J58" s="1022"/>
      <c r="K58" s="1022"/>
      <c r="L58" s="1022"/>
    </row>
    <row r="59" spans="1:12" ht="23.25" customHeight="1" x14ac:dyDescent="0.25">
      <c r="A59" s="959"/>
      <c r="B59" s="1022"/>
      <c r="C59" s="1022"/>
      <c r="D59" s="1022"/>
      <c r="E59" s="1022"/>
      <c r="F59" s="1022"/>
      <c r="G59" s="1022"/>
      <c r="H59" s="1022"/>
      <c r="I59" s="1022"/>
      <c r="J59" s="1022"/>
      <c r="K59" s="1022"/>
      <c r="L59" s="1022"/>
    </row>
    <row r="60" spans="1:12" ht="23.25" customHeight="1" x14ac:dyDescent="0.25">
      <c r="A60" s="959"/>
      <c r="B60" s="1022"/>
      <c r="C60" s="1022"/>
      <c r="D60" s="1022"/>
      <c r="E60" s="1022"/>
      <c r="F60" s="1022"/>
      <c r="G60" s="1022"/>
      <c r="H60" s="1022"/>
      <c r="I60" s="1022"/>
      <c r="J60" s="1022"/>
      <c r="K60" s="1022"/>
      <c r="L60" s="1022"/>
    </row>
    <row r="61" spans="1:12" ht="23.25" customHeight="1" x14ac:dyDescent="0.25">
      <c r="A61" s="959"/>
      <c r="B61" s="1022"/>
      <c r="C61" s="1022"/>
      <c r="D61" s="1022"/>
      <c r="E61" s="1022"/>
      <c r="F61" s="1022"/>
      <c r="G61" s="1022"/>
      <c r="H61" s="1022"/>
      <c r="I61" s="1022"/>
      <c r="J61" s="1022"/>
      <c r="K61" s="1022"/>
      <c r="L61" s="1022"/>
    </row>
    <row r="62" spans="1:12" ht="23.25" customHeight="1" x14ac:dyDescent="0.25">
      <c r="A62" s="959"/>
      <c r="B62" s="1022"/>
      <c r="C62" s="1022"/>
      <c r="D62" s="1022"/>
      <c r="E62" s="1022"/>
      <c r="F62" s="1022"/>
      <c r="G62" s="1022"/>
      <c r="H62" s="1022"/>
      <c r="I62" s="1022"/>
      <c r="J62" s="1022"/>
      <c r="K62" s="1022"/>
      <c r="L62" s="1022"/>
    </row>
    <row r="63" spans="1:12" ht="23.25" customHeight="1" x14ac:dyDescent="0.25">
      <c r="A63" s="959" t="s">
        <v>968</v>
      </c>
      <c r="B63" s="1022"/>
      <c r="C63" s="1022"/>
      <c r="D63" s="1022"/>
      <c r="E63" s="1022"/>
      <c r="F63" s="1022"/>
      <c r="G63" s="1022"/>
      <c r="H63" s="1022"/>
      <c r="I63" s="1022"/>
      <c r="J63" s="1022"/>
      <c r="K63" s="1022"/>
      <c r="L63" s="1022"/>
    </row>
    <row r="64" spans="1:12" ht="23.25" customHeight="1" x14ac:dyDescent="0.25">
      <c r="A64" s="959"/>
      <c r="B64" s="1022"/>
      <c r="C64" s="1022"/>
      <c r="D64" s="1022"/>
      <c r="E64" s="1022"/>
      <c r="F64" s="1022"/>
      <c r="G64" s="1022"/>
      <c r="H64" s="1022"/>
      <c r="I64" s="1022"/>
      <c r="J64" s="1022"/>
      <c r="K64" s="1022"/>
      <c r="L64" s="1022"/>
    </row>
    <row r="65" spans="1:12" ht="23.25" customHeight="1" x14ac:dyDescent="0.25">
      <c r="A65" s="959"/>
      <c r="B65" s="1022"/>
      <c r="C65" s="1022"/>
      <c r="D65" s="1022"/>
      <c r="E65" s="1022"/>
      <c r="F65" s="1022"/>
      <c r="G65" s="1022"/>
      <c r="H65" s="1022"/>
      <c r="I65" s="1022"/>
      <c r="J65" s="1022"/>
      <c r="K65" s="1022"/>
      <c r="L65" s="1022"/>
    </row>
    <row r="66" spans="1:12" ht="23.25" customHeight="1" x14ac:dyDescent="0.25">
      <c r="A66" s="959"/>
      <c r="B66" s="1022"/>
      <c r="C66" s="1022"/>
      <c r="D66" s="1022"/>
      <c r="E66" s="1022"/>
      <c r="F66" s="1022"/>
      <c r="G66" s="1022"/>
      <c r="H66" s="1022"/>
      <c r="I66" s="1022"/>
      <c r="J66" s="1022"/>
      <c r="K66" s="1022"/>
      <c r="L66" s="1022"/>
    </row>
    <row r="67" spans="1:12" ht="23.25" customHeight="1" x14ac:dyDescent="0.25">
      <c r="A67" s="959"/>
      <c r="B67" s="1022"/>
      <c r="C67" s="1022"/>
      <c r="D67" s="1022"/>
      <c r="E67" s="1022"/>
      <c r="F67" s="1022"/>
      <c r="G67" s="1022"/>
      <c r="H67" s="1022"/>
      <c r="I67" s="1022"/>
      <c r="J67" s="1022"/>
      <c r="K67" s="1022"/>
      <c r="L67" s="1022"/>
    </row>
    <row r="68" spans="1:12" ht="23.25" customHeight="1" x14ac:dyDescent="0.25">
      <c r="A68" s="959"/>
      <c r="B68" s="1022"/>
      <c r="C68" s="1022"/>
      <c r="D68" s="1022"/>
      <c r="E68" s="1022"/>
      <c r="F68" s="1022"/>
      <c r="G68" s="1022"/>
      <c r="H68" s="1022"/>
      <c r="I68" s="1022"/>
      <c r="J68" s="1022"/>
      <c r="K68" s="1022"/>
      <c r="L68" s="1022"/>
    </row>
    <row r="69" spans="1:12" ht="23.25" customHeight="1"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B23:E23"/>
    <mergeCell ref="B24:E24"/>
    <mergeCell ref="B20:E20"/>
    <mergeCell ref="G46:L46"/>
    <mergeCell ref="B35:D35"/>
    <mergeCell ref="H35:I35"/>
    <mergeCell ref="B36:D36"/>
    <mergeCell ref="B42:D42"/>
    <mergeCell ref="B44:D44"/>
    <mergeCell ref="B37:D37"/>
    <mergeCell ref="B38:D38"/>
    <mergeCell ref="B39:D39"/>
    <mergeCell ref="B40:D40"/>
    <mergeCell ref="Z16:AA16"/>
    <mergeCell ref="Z11:AA11"/>
    <mergeCell ref="Z12:AA12"/>
    <mergeCell ref="Z13:AA13"/>
    <mergeCell ref="Z14:AA14"/>
    <mergeCell ref="Z15:AA15"/>
    <mergeCell ref="B31:D31"/>
    <mergeCell ref="B32:D32"/>
    <mergeCell ref="G32:I32"/>
    <mergeCell ref="B29:E29"/>
    <mergeCell ref="B17:E17"/>
    <mergeCell ref="B12:E12"/>
    <mergeCell ref="B13:E13"/>
    <mergeCell ref="B14:E14"/>
    <mergeCell ref="B15:E15"/>
    <mergeCell ref="B16:E16"/>
    <mergeCell ref="B25:E25"/>
    <mergeCell ref="B26:E26"/>
    <mergeCell ref="B27:E27"/>
    <mergeCell ref="B28:E28"/>
    <mergeCell ref="B18:E18"/>
    <mergeCell ref="B19:E19"/>
    <mergeCell ref="B21:E21"/>
    <mergeCell ref="B22:E22"/>
    <mergeCell ref="B41:D41"/>
    <mergeCell ref="G7:H7"/>
    <mergeCell ref="A1:E1"/>
    <mergeCell ref="B2:E2"/>
    <mergeCell ref="G2:H2"/>
    <mergeCell ref="B3:E3"/>
    <mergeCell ref="G3:H3"/>
    <mergeCell ref="G6:H6"/>
    <mergeCell ref="G4:H4"/>
    <mergeCell ref="G5:H5"/>
    <mergeCell ref="B4:E4"/>
    <mergeCell ref="B5:E5"/>
    <mergeCell ref="B6:E6"/>
    <mergeCell ref="B7:E7"/>
    <mergeCell ref="B33:D33"/>
    <mergeCell ref="H33:I33"/>
    <mergeCell ref="G40:I40"/>
    <mergeCell ref="B34:D34"/>
    <mergeCell ref="H34:I34"/>
    <mergeCell ref="G8:G10"/>
    <mergeCell ref="B8:E8"/>
    <mergeCell ref="B9:E9"/>
    <mergeCell ref="B10:E10"/>
    <mergeCell ref="B11:E11"/>
  </mergeCells>
  <conditionalFormatting sqref="B5">
    <cfRule type="containsText" dxfId="359" priority="1" operator="containsText" text="Terminé">
      <formula>NOT(ISERROR(SEARCH("Terminé",B5)))</formula>
    </cfRule>
    <cfRule type="containsText" dxfId="358" priority="2" operator="containsText" text="En cours">
      <formula>NOT(ISERROR(SEARCH("En cours",B5)))</formula>
    </cfRule>
    <cfRule type="containsText" dxfId="35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3" workbookViewId="0">
      <selection activeCell="B14" sqref="B14:E14"/>
    </sheetView>
  </sheetViews>
  <sheetFormatPr baseColWidth="10" defaultColWidth="11.42578125" defaultRowHeight="15"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6.25" x14ac:dyDescent="0.4">
      <c r="A1" s="1001" t="s">
        <v>937</v>
      </c>
      <c r="B1" s="1001"/>
      <c r="C1" s="1001"/>
      <c r="D1" s="1001"/>
      <c r="E1" s="1001"/>
      <c r="F1" s="276"/>
      <c r="G1" s="7"/>
      <c r="H1" s="7"/>
    </row>
    <row r="2" spans="1:28" ht="19.5" customHeight="1" x14ac:dyDescent="0.25">
      <c r="A2" s="412" t="s">
        <v>750</v>
      </c>
      <c r="B2" s="1002" t="s">
        <v>125</v>
      </c>
      <c r="C2" s="1002"/>
      <c r="D2" s="1002"/>
      <c r="E2" s="1002"/>
      <c r="F2" s="7"/>
      <c r="G2" s="986" t="s">
        <v>751</v>
      </c>
      <c r="H2" s="986"/>
    </row>
    <row r="3" spans="1:28" ht="19.5" customHeight="1" x14ac:dyDescent="0.25">
      <c r="A3" s="483" t="s">
        <v>743</v>
      </c>
      <c r="B3" s="987" t="s">
        <v>744</v>
      </c>
      <c r="C3" s="987"/>
      <c r="D3" s="987"/>
      <c r="E3" s="987"/>
      <c r="F3" s="7"/>
      <c r="G3" s="986" t="s">
        <v>752</v>
      </c>
      <c r="H3" s="986"/>
    </row>
    <row r="4" spans="1:28" ht="19.5" customHeight="1" x14ac:dyDescent="0.25">
      <c r="A4" s="482" t="s">
        <v>292</v>
      </c>
      <c r="B4" s="996" t="s">
        <v>37</v>
      </c>
      <c r="C4" s="996"/>
      <c r="D4" s="996"/>
      <c r="E4" s="996"/>
      <c r="F4" s="7"/>
      <c r="G4" s="986" t="s">
        <v>753</v>
      </c>
      <c r="H4" s="986"/>
    </row>
    <row r="5" spans="1:28" ht="19.5" customHeight="1" x14ac:dyDescent="0.25">
      <c r="A5" s="482"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487"/>
      <c r="J7" s="487"/>
      <c r="Z7" s="484"/>
      <c r="AA7" s="485"/>
      <c r="AB7" s="357"/>
    </row>
    <row r="8" spans="1:28" ht="24" customHeight="1" x14ac:dyDescent="0.25">
      <c r="A8" s="491" t="s">
        <v>1</v>
      </c>
      <c r="B8" s="967" t="s">
        <v>83</v>
      </c>
      <c r="C8" s="967"/>
      <c r="D8" s="967"/>
      <c r="E8" s="967"/>
      <c r="G8" s="997" t="s">
        <v>936</v>
      </c>
      <c r="H8" s="6"/>
      <c r="I8" s="6"/>
      <c r="J8" s="6"/>
      <c r="K8" s="6"/>
      <c r="L8" s="6"/>
      <c r="M8" s="6"/>
      <c r="Z8" s="1028" t="s">
        <v>611</v>
      </c>
      <c r="AA8" s="1029"/>
      <c r="AB8" s="357">
        <v>0.26819999999999999</v>
      </c>
    </row>
    <row r="9" spans="1:28" ht="24" customHeight="1" x14ac:dyDescent="0.25">
      <c r="A9" s="491" t="s">
        <v>0</v>
      </c>
      <c r="B9" s="967" t="s">
        <v>854</v>
      </c>
      <c r="C9" s="967"/>
      <c r="D9" s="967"/>
      <c r="E9" s="967"/>
      <c r="G9" s="997"/>
      <c r="H9" s="6"/>
      <c r="I9" s="6"/>
      <c r="J9" s="6"/>
      <c r="K9" s="6"/>
      <c r="L9" s="6"/>
      <c r="M9" s="6"/>
      <c r="Z9" s="1028" t="s">
        <v>612</v>
      </c>
      <c r="AA9" s="1029"/>
      <c r="AB9" s="357">
        <v>3.1300000000000001E-2</v>
      </c>
    </row>
    <row r="10" spans="1:28" ht="69.75" customHeight="1" x14ac:dyDescent="0.25">
      <c r="A10" s="102" t="s">
        <v>2</v>
      </c>
      <c r="B10" s="1047" t="s">
        <v>1301</v>
      </c>
      <c r="C10" s="1047"/>
      <c r="D10" s="1047"/>
      <c r="E10" s="1047"/>
      <c r="G10" s="997"/>
      <c r="H10" s="7"/>
      <c r="I10" s="6"/>
      <c r="J10" s="6"/>
      <c r="K10" s="6"/>
      <c r="L10" s="6"/>
      <c r="M10" s="6"/>
      <c r="Z10" s="1028"/>
      <c r="AA10" s="1029"/>
      <c r="AB10" s="357"/>
    </row>
    <row r="11" spans="1:28" ht="27" customHeight="1" x14ac:dyDescent="0.25">
      <c r="A11" s="102" t="s">
        <v>29</v>
      </c>
      <c r="B11" s="1034"/>
      <c r="C11" s="1034"/>
      <c r="D11" s="1034"/>
      <c r="E11" s="1034"/>
      <c r="G11" s="225">
        <v>50000</v>
      </c>
      <c r="H11" s="225" t="s">
        <v>25</v>
      </c>
      <c r="I11" s="6"/>
      <c r="J11" s="6"/>
      <c r="K11" s="6"/>
      <c r="L11" s="6"/>
      <c r="M11" s="6"/>
      <c r="Z11" s="1028" t="s">
        <v>613</v>
      </c>
      <c r="AA11" s="1029"/>
      <c r="AB11" s="357">
        <v>0.26819999999999999</v>
      </c>
    </row>
    <row r="12" spans="1:28" ht="30" customHeight="1" x14ac:dyDescent="0.25">
      <c r="A12" s="102" t="s">
        <v>14</v>
      </c>
      <c r="B12" s="1010" t="s">
        <v>939</v>
      </c>
      <c r="C12" s="1010"/>
      <c r="D12" s="1010"/>
      <c r="E12" s="1010"/>
      <c r="G12" s="225">
        <v>5000</v>
      </c>
      <c r="H12" s="225" t="s">
        <v>7</v>
      </c>
      <c r="I12" s="6"/>
      <c r="J12" s="6"/>
      <c r="K12" s="6"/>
      <c r="L12" s="6"/>
      <c r="M12" s="6"/>
      <c r="Z12" s="1028" t="s">
        <v>614</v>
      </c>
      <c r="AA12" s="1029"/>
      <c r="AB12" s="357">
        <v>1.18E-2</v>
      </c>
    </row>
    <row r="13" spans="1:28" ht="30" customHeight="1" x14ac:dyDescent="0.2">
      <c r="A13" s="102" t="s">
        <v>3</v>
      </c>
      <c r="B13" s="1011" t="s">
        <v>943</v>
      </c>
      <c r="C13" s="1011"/>
      <c r="D13" s="1011"/>
      <c r="E13" s="1011"/>
      <c r="G13" s="9" t="s">
        <v>1143</v>
      </c>
      <c r="I13" s="9">
        <v>32702</v>
      </c>
      <c r="J13" s="635">
        <v>0.55000000000000004</v>
      </c>
      <c r="Z13" s="1028" t="s">
        <v>615</v>
      </c>
      <c r="AA13" s="1029"/>
      <c r="AB13" s="358">
        <v>0.36854545454545451</v>
      </c>
    </row>
    <row r="14" spans="1:28" ht="30" customHeight="1" x14ac:dyDescent="0.2">
      <c r="A14" s="102" t="s">
        <v>15</v>
      </c>
      <c r="B14" s="1010"/>
      <c r="C14" s="1010"/>
      <c r="D14" s="1010"/>
      <c r="E14" s="1010"/>
      <c r="G14" s="1046" t="s">
        <v>1130</v>
      </c>
      <c r="H14" s="1046"/>
      <c r="I14" s="1046"/>
      <c r="J14" s="1046"/>
      <c r="Z14" s="1028" t="s">
        <v>616</v>
      </c>
      <c r="AA14" s="1029"/>
      <c r="AB14" s="357">
        <v>0.26819999999999999</v>
      </c>
    </row>
    <row r="15" spans="1:28" ht="30" customHeight="1" x14ac:dyDescent="0.2">
      <c r="A15" s="102" t="s">
        <v>4</v>
      </c>
      <c r="B15" s="1010">
        <v>2016</v>
      </c>
      <c r="C15" s="1010"/>
      <c r="D15" s="1010"/>
      <c r="E15" s="1010"/>
      <c r="G15" s="1046" t="s">
        <v>1131</v>
      </c>
      <c r="H15" s="1046"/>
      <c r="I15" s="1046"/>
      <c r="J15" s="1046"/>
      <c r="Z15" s="1028" t="s">
        <v>578</v>
      </c>
      <c r="AA15" s="1029"/>
      <c r="AB15" s="357">
        <v>0.27700000000000002</v>
      </c>
    </row>
    <row r="16" spans="1:28" ht="30" customHeight="1" x14ac:dyDescent="0.2">
      <c r="A16" s="102" t="s">
        <v>5</v>
      </c>
      <c r="B16" s="1010">
        <v>2025</v>
      </c>
      <c r="C16" s="1010"/>
      <c r="D16" s="1010"/>
      <c r="E16" s="1010"/>
      <c r="G16" s="1046" t="s">
        <v>1132</v>
      </c>
      <c r="H16" s="1046"/>
      <c r="I16" s="1046"/>
      <c r="J16" s="1046"/>
      <c r="Z16" s="1028" t="s">
        <v>579</v>
      </c>
      <c r="AA16" s="1029"/>
      <c r="AB16" s="357">
        <v>0.20269999999999999</v>
      </c>
    </row>
    <row r="17" spans="1:10" ht="30" customHeight="1" x14ac:dyDescent="0.25">
      <c r="A17" s="102" t="s">
        <v>6</v>
      </c>
      <c r="B17" s="1000">
        <f>G11</f>
        <v>50000</v>
      </c>
      <c r="C17" s="1000"/>
      <c r="D17" s="1000"/>
      <c r="E17" s="1000"/>
      <c r="G17" s="1046" t="s">
        <v>1133</v>
      </c>
      <c r="H17" s="1046"/>
      <c r="I17" s="1046"/>
      <c r="J17" s="1046"/>
    </row>
    <row r="18" spans="1:10" ht="30" customHeight="1" x14ac:dyDescent="0.25">
      <c r="A18" s="102" t="s">
        <v>7</v>
      </c>
      <c r="B18" s="1000">
        <f>B17*0.55</f>
        <v>27500.000000000004</v>
      </c>
      <c r="C18" s="1000"/>
      <c r="D18" s="1000"/>
      <c r="E18" s="1000"/>
      <c r="G18" s="1046" t="s">
        <v>1134</v>
      </c>
      <c r="H18" s="1046"/>
      <c r="I18" s="1046"/>
      <c r="J18" s="1046"/>
    </row>
    <row r="19" spans="1:10" ht="30" customHeight="1" x14ac:dyDescent="0.25">
      <c r="A19" s="99" t="s">
        <v>307</v>
      </c>
      <c r="B19" s="1039"/>
      <c r="C19" s="1040"/>
      <c r="D19" s="1040"/>
      <c r="E19" s="1040"/>
      <c r="G19" s="1046" t="s">
        <v>1135</v>
      </c>
      <c r="H19" s="1046"/>
      <c r="I19" s="1046"/>
      <c r="J19" s="1046"/>
    </row>
    <row r="20" spans="1:10" ht="30" customHeight="1" x14ac:dyDescent="0.25">
      <c r="A20" s="96" t="s">
        <v>306</v>
      </c>
      <c r="B20" s="1041"/>
      <c r="C20" s="1042"/>
      <c r="D20" s="1042"/>
      <c r="E20" s="1042"/>
      <c r="G20" s="1046" t="s">
        <v>1136</v>
      </c>
      <c r="H20" s="1046"/>
      <c r="I20" s="1046"/>
      <c r="J20" s="1046"/>
    </row>
    <row r="21" spans="1:10" ht="30" customHeight="1" x14ac:dyDescent="0.25">
      <c r="A21" s="102" t="s">
        <v>8</v>
      </c>
      <c r="B21" s="1000">
        <v>1</v>
      </c>
      <c r="C21" s="1000"/>
      <c r="D21" s="1000"/>
      <c r="E21" s="1000"/>
      <c r="G21" s="1046" t="s">
        <v>1137</v>
      </c>
      <c r="H21" s="1046"/>
      <c r="I21" s="1046"/>
      <c r="J21" s="1046"/>
    </row>
    <row r="22" spans="1:10" ht="30" customHeight="1" x14ac:dyDescent="0.25">
      <c r="A22" s="102" t="s">
        <v>9</v>
      </c>
      <c r="B22" s="1000"/>
      <c r="C22" s="1000"/>
      <c r="D22" s="1000"/>
      <c r="E22" s="1000"/>
      <c r="G22" s="1046" t="s">
        <v>1138</v>
      </c>
      <c r="H22" s="1046"/>
      <c r="I22" s="1046"/>
      <c r="J22" s="1046"/>
    </row>
    <row r="23" spans="1:10" ht="30" customHeight="1" x14ac:dyDescent="0.25">
      <c r="A23" s="102" t="s">
        <v>301</v>
      </c>
      <c r="B23" s="1016">
        <f>B17/(B21+B22)</f>
        <v>50000</v>
      </c>
      <c r="C23" s="1016"/>
      <c r="D23" s="1016"/>
      <c r="E23" s="1016"/>
      <c r="G23" s="1046" t="s">
        <v>1139</v>
      </c>
      <c r="H23" s="1046"/>
      <c r="I23" s="1046"/>
      <c r="J23" s="1046"/>
    </row>
    <row r="24" spans="1:10" ht="30" customHeight="1" x14ac:dyDescent="0.25">
      <c r="A24" s="102" t="s">
        <v>302</v>
      </c>
      <c r="B24" s="1048">
        <f>(B17-B18)/(B21+B22)</f>
        <v>22499.999999999996</v>
      </c>
      <c r="C24" s="1048"/>
      <c r="D24" s="1048"/>
      <c r="E24" s="1048"/>
      <c r="G24" s="1046" t="s">
        <v>1140</v>
      </c>
      <c r="H24" s="1046"/>
      <c r="I24" s="1046"/>
      <c r="J24" s="1046"/>
    </row>
    <row r="25" spans="1:10" ht="30" customHeight="1" x14ac:dyDescent="0.25">
      <c r="A25" s="103" t="s">
        <v>305</v>
      </c>
      <c r="B25" s="1049">
        <v>0</v>
      </c>
      <c r="C25" s="1049"/>
      <c r="D25" s="1049"/>
      <c r="E25" s="1049"/>
      <c r="G25" s="1046" t="s">
        <v>1141</v>
      </c>
      <c r="H25" s="1046"/>
      <c r="I25" s="1046"/>
      <c r="J25" s="1046"/>
    </row>
    <row r="26" spans="1:10" ht="30" customHeight="1" x14ac:dyDescent="0.25">
      <c r="A26" s="104" t="s">
        <v>303</v>
      </c>
      <c r="B26" s="1019">
        <f>B25/'Objectifs CO2'!C11</f>
        <v>0</v>
      </c>
      <c r="C26" s="1019"/>
      <c r="D26" s="1019"/>
      <c r="E26" s="1019"/>
      <c r="G26" s="1046" t="s">
        <v>1142</v>
      </c>
      <c r="H26" s="1046"/>
      <c r="I26" s="1046"/>
      <c r="J26" s="1046"/>
    </row>
    <row r="27" spans="1:10" ht="30" customHeight="1" x14ac:dyDescent="0.25">
      <c r="A27" s="104" t="s">
        <v>304</v>
      </c>
      <c r="B27" s="1020">
        <f>B25/'Objectifs CO2'!C4</f>
        <v>0</v>
      </c>
      <c r="C27" s="1021"/>
      <c r="D27" s="1021"/>
      <c r="E27" s="1021"/>
    </row>
    <row r="28" spans="1:10" ht="30" customHeight="1" x14ac:dyDescent="0.25">
      <c r="A28" s="104" t="s">
        <v>22</v>
      </c>
      <c r="B28" s="999"/>
      <c r="C28" s="999"/>
      <c r="D28" s="999"/>
      <c r="E28" s="999"/>
    </row>
    <row r="29" spans="1:10" ht="30" customHeight="1" x14ac:dyDescent="0.25">
      <c r="A29" s="101" t="s">
        <v>257</v>
      </c>
      <c r="B29" s="999"/>
      <c r="C29" s="999"/>
      <c r="D29" s="999"/>
      <c r="E29" s="999"/>
    </row>
    <row r="31" spans="1:10" ht="23.25" customHeight="1" x14ac:dyDescent="0.25">
      <c r="A31" s="603" t="s">
        <v>1065</v>
      </c>
      <c r="B31" s="1003" t="s">
        <v>675</v>
      </c>
      <c r="C31" s="1003"/>
      <c r="D31" s="1003"/>
      <c r="E31" s="479" t="s">
        <v>676</v>
      </c>
      <c r="F31" s="6"/>
      <c r="G31" s="6"/>
      <c r="H31" s="6"/>
      <c r="I31" s="6"/>
    </row>
    <row r="32" spans="1:10" ht="23.25" customHeight="1" x14ac:dyDescent="0.25">
      <c r="A32" s="377"/>
      <c r="B32" s="992" t="s">
        <v>677</v>
      </c>
      <c r="C32" s="992"/>
      <c r="D32" s="992"/>
      <c r="E32" s="374"/>
      <c r="F32" s="6"/>
      <c r="G32" s="1004" t="s">
        <v>676</v>
      </c>
      <c r="H32" s="1004"/>
      <c r="I32" s="1004"/>
    </row>
    <row r="33" spans="1:12" ht="23.25" customHeight="1" x14ac:dyDescent="0.25">
      <c r="A33" s="377"/>
      <c r="B33" s="992" t="s">
        <v>678</v>
      </c>
      <c r="C33" s="992"/>
      <c r="D33" s="992"/>
      <c r="E33" s="374"/>
      <c r="F33" s="6"/>
      <c r="G33" s="375">
        <v>3</v>
      </c>
      <c r="H33" s="1004" t="s">
        <v>679</v>
      </c>
      <c r="I33" s="1004"/>
    </row>
    <row r="34" spans="1:12" ht="23.25" customHeight="1" x14ac:dyDescent="0.25">
      <c r="A34" s="377"/>
      <c r="B34" s="992" t="s">
        <v>680</v>
      </c>
      <c r="C34" s="992"/>
      <c r="D34" s="992"/>
      <c r="E34" s="374"/>
      <c r="F34" s="6"/>
      <c r="G34" s="375">
        <v>2</v>
      </c>
      <c r="H34" s="1004" t="s">
        <v>681</v>
      </c>
      <c r="I34" s="1004"/>
    </row>
    <row r="35" spans="1:12" ht="23.25" customHeight="1" x14ac:dyDescent="0.25">
      <c r="A35" s="377"/>
      <c r="B35" s="992" t="s">
        <v>682</v>
      </c>
      <c r="C35" s="992"/>
      <c r="D35" s="992"/>
      <c r="E35" s="374"/>
      <c r="F35" s="6"/>
      <c r="G35" s="375">
        <v>1</v>
      </c>
      <c r="H35" s="1004" t="s">
        <v>683</v>
      </c>
      <c r="I35" s="1004"/>
    </row>
    <row r="36" spans="1:12" ht="23.25" customHeight="1" x14ac:dyDescent="0.25">
      <c r="A36" s="377"/>
      <c r="B36" s="992" t="s">
        <v>684</v>
      </c>
      <c r="C36" s="992"/>
      <c r="D36" s="992"/>
      <c r="E36" s="374"/>
      <c r="F36" s="6"/>
      <c r="G36" s="6"/>
      <c r="H36" s="6"/>
      <c r="I36" s="6"/>
    </row>
    <row r="37" spans="1:12" ht="23.25" customHeight="1" x14ac:dyDescent="0.25">
      <c r="A37" s="377"/>
      <c r="B37" s="992" t="s">
        <v>685</v>
      </c>
      <c r="C37" s="992"/>
      <c r="D37" s="992"/>
      <c r="E37" s="374"/>
      <c r="F37" s="6"/>
      <c r="G37" s="6"/>
      <c r="H37" s="6"/>
      <c r="I37" s="6"/>
    </row>
    <row r="38" spans="1:12" ht="23.25" customHeight="1" x14ac:dyDescent="0.25">
      <c r="A38" s="377"/>
      <c r="B38" s="992" t="s">
        <v>686</v>
      </c>
      <c r="C38" s="992"/>
      <c r="D38" s="992"/>
      <c r="E38" s="374"/>
      <c r="F38" s="6"/>
      <c r="G38" s="6"/>
      <c r="H38" s="6"/>
      <c r="I38" s="6"/>
    </row>
    <row r="39" spans="1:12" ht="23.25" customHeight="1" x14ac:dyDescent="0.25">
      <c r="A39" s="377"/>
      <c r="B39" s="992" t="s">
        <v>687</v>
      </c>
      <c r="C39" s="992"/>
      <c r="D39" s="992"/>
      <c r="E39" s="374"/>
      <c r="F39" s="6"/>
      <c r="G39" s="6"/>
      <c r="H39" s="6"/>
      <c r="I39" s="6"/>
    </row>
    <row r="40" spans="1:12" ht="23.25" customHeight="1" x14ac:dyDescent="0.25">
      <c r="A40" s="377"/>
      <c r="B40" s="992" t="s">
        <v>688</v>
      </c>
      <c r="C40" s="992"/>
      <c r="D40" s="992"/>
      <c r="E40" s="374"/>
      <c r="F40" s="6"/>
      <c r="G40" s="1005" t="s">
        <v>689</v>
      </c>
      <c r="H40" s="1005"/>
      <c r="I40" s="1005"/>
    </row>
    <row r="41" spans="1:12" ht="23.25" customHeight="1" x14ac:dyDescent="0.25">
      <c r="A41" s="377"/>
      <c r="B41" s="992" t="s">
        <v>843</v>
      </c>
      <c r="C41" s="992"/>
      <c r="D41" s="992"/>
      <c r="E41" s="374"/>
      <c r="F41" s="6"/>
      <c r="G41" s="377" t="s">
        <v>690</v>
      </c>
      <c r="H41" s="378" t="s">
        <v>691</v>
      </c>
      <c r="I41" s="377" t="s">
        <v>692</v>
      </c>
    </row>
    <row r="42" spans="1:12" ht="23.25" customHeight="1" x14ac:dyDescent="0.25">
      <c r="A42" s="377"/>
      <c r="B42" s="988" t="s">
        <v>247</v>
      </c>
      <c r="C42" s="988"/>
      <c r="D42" s="988"/>
      <c r="E42" s="376">
        <f>SUM(E32:E40)</f>
        <v>0</v>
      </c>
      <c r="F42" s="6"/>
      <c r="G42" s="377" t="s">
        <v>693</v>
      </c>
      <c r="H42" s="377" t="s">
        <v>694</v>
      </c>
      <c r="I42" s="377" t="s">
        <v>695</v>
      </c>
    </row>
    <row r="43" spans="1:12" ht="23.25" customHeight="1" x14ac:dyDescent="0.25">
      <c r="B43" s="6"/>
      <c r="C43" s="6"/>
      <c r="D43" s="6"/>
      <c r="E43" s="94" t="s">
        <v>730</v>
      </c>
      <c r="F43" s="6"/>
      <c r="G43" s="6"/>
      <c r="H43" s="6"/>
      <c r="I43" s="6"/>
    </row>
    <row r="44" spans="1:12" ht="23.25" customHeight="1" x14ac:dyDescent="0.25">
      <c r="B44" s="989" t="s">
        <v>696</v>
      </c>
      <c r="C44" s="990"/>
      <c r="D44" s="991"/>
      <c r="E44" s="267">
        <v>1</v>
      </c>
      <c r="F44" s="6"/>
      <c r="G44" s="377">
        <v>1</v>
      </c>
      <c r="H44" s="377" t="s">
        <v>697</v>
      </c>
      <c r="I44" s="6"/>
    </row>
    <row r="45" spans="1:12" ht="23.25" customHeight="1"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8">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G14:J14"/>
    <mergeCell ref="G15:J15"/>
    <mergeCell ref="G16:J16"/>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 ref="G26:J26"/>
    <mergeCell ref="G17:J17"/>
    <mergeCell ref="G18:J18"/>
    <mergeCell ref="G19:J19"/>
    <mergeCell ref="G20:J20"/>
    <mergeCell ref="G21:J21"/>
    <mergeCell ref="G22:J22"/>
    <mergeCell ref="G23:J23"/>
    <mergeCell ref="G24:J24"/>
    <mergeCell ref="G25:J25"/>
  </mergeCells>
  <conditionalFormatting sqref="B5">
    <cfRule type="containsText" dxfId="356" priority="1" operator="containsText" text="Terminé">
      <formula>NOT(ISERROR(SEARCH("Terminé",B5)))</formula>
    </cfRule>
    <cfRule type="containsText" dxfId="355" priority="2" operator="containsText" text="En cours">
      <formula>NOT(ISERROR(SEARCH("En cours",B5)))</formula>
    </cfRule>
    <cfRule type="containsText" dxfId="35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7" workbookViewId="0">
      <selection activeCell="B14" sqref="B14:E14"/>
    </sheetView>
  </sheetViews>
  <sheetFormatPr baseColWidth="10" defaultColWidth="11.42578125" defaultRowHeight="15"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6.25" x14ac:dyDescent="0.4">
      <c r="A1" s="1001" t="s">
        <v>937</v>
      </c>
      <c r="B1" s="1001"/>
      <c r="C1" s="1001"/>
      <c r="D1" s="1001"/>
      <c r="E1" s="1001"/>
      <c r="F1" s="276"/>
      <c r="G1" s="7"/>
      <c r="H1" s="7"/>
    </row>
    <row r="2" spans="1:28" ht="19.5" customHeight="1" x14ac:dyDescent="0.25">
      <c r="A2" s="412" t="s">
        <v>750</v>
      </c>
      <c r="B2" s="1002" t="s">
        <v>134</v>
      </c>
      <c r="C2" s="1002"/>
      <c r="D2" s="1002"/>
      <c r="E2" s="1002"/>
      <c r="F2" s="7"/>
      <c r="G2" s="986" t="s">
        <v>751</v>
      </c>
      <c r="H2" s="986"/>
    </row>
    <row r="3" spans="1:28" ht="19.5" customHeight="1" x14ac:dyDescent="0.25">
      <c r="A3" s="483" t="s">
        <v>743</v>
      </c>
      <c r="B3" s="987" t="s">
        <v>744</v>
      </c>
      <c r="C3" s="987"/>
      <c r="D3" s="987"/>
      <c r="E3" s="987"/>
      <c r="F3" s="7"/>
      <c r="G3" s="986" t="s">
        <v>752</v>
      </c>
      <c r="H3" s="986"/>
    </row>
    <row r="4" spans="1:28" ht="19.5" customHeight="1" x14ac:dyDescent="0.25">
      <c r="A4" s="482" t="s">
        <v>292</v>
      </c>
      <c r="B4" s="996" t="s">
        <v>37</v>
      </c>
      <c r="C4" s="996"/>
      <c r="D4" s="996"/>
      <c r="E4" s="996"/>
      <c r="F4" s="7"/>
      <c r="G4" s="986" t="s">
        <v>753</v>
      </c>
      <c r="H4" s="986"/>
    </row>
    <row r="5" spans="1:28" ht="19.5" customHeight="1" x14ac:dyDescent="0.25">
      <c r="A5" s="482"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87"/>
      <c r="J7" s="487"/>
      <c r="Z7" s="484"/>
      <c r="AA7" s="485"/>
      <c r="AB7" s="357"/>
    </row>
    <row r="8" spans="1:28" ht="24" customHeight="1" x14ac:dyDescent="0.25">
      <c r="A8" s="491" t="s">
        <v>1</v>
      </c>
      <c r="B8" s="967" t="s">
        <v>862</v>
      </c>
      <c r="C8" s="967"/>
      <c r="D8" s="967"/>
      <c r="E8" s="967"/>
      <c r="G8" s="997" t="s">
        <v>936</v>
      </c>
      <c r="H8" s="6"/>
      <c r="I8" s="6"/>
      <c r="J8" s="6"/>
      <c r="K8" s="6"/>
      <c r="L8" s="6"/>
      <c r="M8" s="6"/>
      <c r="Z8" s="1028" t="s">
        <v>611</v>
      </c>
      <c r="AA8" s="1029"/>
      <c r="AB8" s="357">
        <v>0.26819999999999999</v>
      </c>
    </row>
    <row r="9" spans="1:28" ht="24" customHeight="1" x14ac:dyDescent="0.25">
      <c r="A9" s="491" t="s">
        <v>0</v>
      </c>
      <c r="B9" s="996" t="s">
        <v>872</v>
      </c>
      <c r="C9" s="996"/>
      <c r="D9" s="996"/>
      <c r="E9" s="996"/>
      <c r="G9" s="997"/>
      <c r="H9" s="6"/>
      <c r="I9" s="6"/>
      <c r="J9" s="6"/>
      <c r="K9" s="6"/>
      <c r="L9" s="6"/>
      <c r="M9" s="6"/>
      <c r="Z9" s="1028" t="s">
        <v>612</v>
      </c>
      <c r="AA9" s="1029"/>
      <c r="AB9" s="357">
        <v>3.1300000000000001E-2</v>
      </c>
    </row>
    <row r="10" spans="1:28" ht="69.75" customHeight="1" x14ac:dyDescent="0.25">
      <c r="A10" s="102" t="s">
        <v>2</v>
      </c>
      <c r="B10" s="1008" t="s">
        <v>873</v>
      </c>
      <c r="C10" s="1009"/>
      <c r="D10" s="1009"/>
      <c r="E10" s="1009"/>
      <c r="G10" s="997"/>
      <c r="H10" s="7"/>
      <c r="I10" s="6"/>
      <c r="J10" s="6"/>
      <c r="K10" s="6"/>
      <c r="L10" s="6"/>
      <c r="M10" s="6"/>
      <c r="Z10" s="1028"/>
      <c r="AA10" s="1029"/>
      <c r="AB10" s="357"/>
    </row>
    <row r="11" spans="1:28" ht="27" customHeight="1" x14ac:dyDescent="0.25">
      <c r="A11" s="102" t="s">
        <v>29</v>
      </c>
      <c r="B11" s="1034"/>
      <c r="C11" s="1034"/>
      <c r="D11" s="1034"/>
      <c r="E11" s="1034"/>
      <c r="G11" s="225">
        <v>1000</v>
      </c>
      <c r="H11" s="225" t="s">
        <v>25</v>
      </c>
      <c r="I11" s="6"/>
      <c r="J11" s="6"/>
      <c r="K11" s="6"/>
      <c r="L11" s="6"/>
      <c r="M11" s="6"/>
      <c r="Z11" s="1028" t="s">
        <v>613</v>
      </c>
      <c r="AA11" s="1029"/>
      <c r="AB11" s="357">
        <v>0.26819999999999999</v>
      </c>
    </row>
    <row r="12" spans="1:28" ht="30" customHeight="1" x14ac:dyDescent="0.25">
      <c r="A12" s="102" t="s">
        <v>14</v>
      </c>
      <c r="B12" s="1010" t="s">
        <v>939</v>
      </c>
      <c r="C12" s="1010"/>
      <c r="D12" s="1010"/>
      <c r="E12" s="1010"/>
      <c r="G12" s="225">
        <v>0</v>
      </c>
      <c r="H12" s="225" t="s">
        <v>7</v>
      </c>
      <c r="I12" s="6"/>
      <c r="J12" s="6"/>
      <c r="K12" s="6"/>
      <c r="L12" s="6"/>
      <c r="M12" s="6"/>
      <c r="Z12" s="1028" t="s">
        <v>614</v>
      </c>
      <c r="AA12" s="1029"/>
      <c r="AB12" s="357">
        <v>1.18E-2</v>
      </c>
    </row>
    <row r="13" spans="1:28" ht="30" customHeight="1" x14ac:dyDescent="0.2">
      <c r="A13" s="102" t="s">
        <v>3</v>
      </c>
      <c r="B13" s="1011" t="s">
        <v>943</v>
      </c>
      <c r="C13" s="1011"/>
      <c r="D13" s="1011"/>
      <c r="E13" s="1011"/>
      <c r="Z13" s="1028" t="s">
        <v>615</v>
      </c>
      <c r="AA13" s="1029"/>
      <c r="AB13" s="358">
        <v>0.36854545454545451</v>
      </c>
    </row>
    <row r="14" spans="1:28" ht="30" customHeight="1" x14ac:dyDescent="0.2">
      <c r="A14" s="102" t="s">
        <v>15</v>
      </c>
      <c r="B14" s="1010" t="s">
        <v>975</v>
      </c>
      <c r="C14" s="1010"/>
      <c r="D14" s="1010"/>
      <c r="E14" s="1010"/>
      <c r="Z14" s="1028" t="s">
        <v>616</v>
      </c>
      <c r="AA14" s="1029"/>
      <c r="AB14" s="357">
        <v>0.26819999999999999</v>
      </c>
    </row>
    <row r="15" spans="1:28" ht="30" customHeight="1" x14ac:dyDescent="0.2">
      <c r="A15" s="102" t="s">
        <v>4</v>
      </c>
      <c r="B15" s="1010">
        <v>2019</v>
      </c>
      <c r="C15" s="1010"/>
      <c r="D15" s="1010"/>
      <c r="E15" s="1010"/>
      <c r="Z15" s="1028" t="s">
        <v>578</v>
      </c>
      <c r="AA15" s="1029"/>
      <c r="AB15" s="357">
        <v>0.27700000000000002</v>
      </c>
    </row>
    <row r="16" spans="1:28" ht="30" customHeight="1" x14ac:dyDescent="0.2">
      <c r="A16" s="102" t="s">
        <v>5</v>
      </c>
      <c r="B16" s="1010">
        <v>2020</v>
      </c>
      <c r="C16" s="1010"/>
      <c r="D16" s="1010"/>
      <c r="E16" s="1010"/>
      <c r="Z16" s="1028" t="s">
        <v>579</v>
      </c>
      <c r="AA16" s="1029"/>
      <c r="AB16" s="357">
        <v>0.20269999999999999</v>
      </c>
    </row>
    <row r="17" spans="1:9" ht="30" customHeight="1" x14ac:dyDescent="0.25">
      <c r="A17" s="102" t="s">
        <v>6</v>
      </c>
      <c r="B17" s="1000">
        <f>G11</f>
        <v>1000</v>
      </c>
      <c r="C17" s="1000"/>
      <c r="D17" s="1000"/>
      <c r="E17" s="1000"/>
    </row>
    <row r="18" spans="1:9" ht="30" customHeight="1" x14ac:dyDescent="0.25">
      <c r="A18" s="102" t="s">
        <v>7</v>
      </c>
      <c r="B18" s="1000">
        <f>G12</f>
        <v>0</v>
      </c>
      <c r="C18" s="1000"/>
      <c r="D18" s="1000"/>
      <c r="E18" s="1000"/>
    </row>
    <row r="19" spans="1:9" ht="30" customHeight="1" x14ac:dyDescent="0.25">
      <c r="A19" s="99" t="s">
        <v>307</v>
      </c>
      <c r="B19" s="1039"/>
      <c r="C19" s="1040"/>
      <c r="D19" s="1040"/>
      <c r="E19" s="1040"/>
      <c r="G19" s="10"/>
      <c r="H19" s="10"/>
    </row>
    <row r="20" spans="1:9" ht="30" customHeight="1" x14ac:dyDescent="0.25">
      <c r="A20" s="96" t="s">
        <v>306</v>
      </c>
      <c r="B20" s="1041"/>
      <c r="C20" s="1042"/>
      <c r="D20" s="1042"/>
      <c r="E20" s="1042"/>
      <c r="G20" s="10"/>
      <c r="H20" s="10"/>
    </row>
    <row r="21" spans="1:9" ht="30" customHeight="1" x14ac:dyDescent="0.25">
      <c r="A21" s="102" t="s">
        <v>8</v>
      </c>
      <c r="B21" s="1000">
        <v>1</v>
      </c>
      <c r="C21" s="1000"/>
      <c r="D21" s="1000"/>
      <c r="E21" s="1000"/>
      <c r="G21" s="10"/>
      <c r="H21" s="10"/>
    </row>
    <row r="22" spans="1:9" ht="30" customHeight="1" x14ac:dyDescent="0.25">
      <c r="A22" s="102" t="s">
        <v>9</v>
      </c>
      <c r="B22" s="1000"/>
      <c r="C22" s="1000"/>
      <c r="D22" s="1000"/>
      <c r="E22" s="1000"/>
      <c r="G22" s="10"/>
      <c r="H22" s="10"/>
    </row>
    <row r="23" spans="1:9" ht="30" customHeight="1" x14ac:dyDescent="0.25">
      <c r="A23" s="102" t="s">
        <v>301</v>
      </c>
      <c r="B23" s="1016">
        <f>B17/(B21+B22)</f>
        <v>1000</v>
      </c>
      <c r="C23" s="1016"/>
      <c r="D23" s="1016"/>
      <c r="E23" s="1016"/>
      <c r="G23" s="10"/>
      <c r="H23" s="10"/>
    </row>
    <row r="24" spans="1:9" ht="30" customHeight="1" x14ac:dyDescent="0.25">
      <c r="A24" s="102" t="s">
        <v>302</v>
      </c>
      <c r="B24" s="1017">
        <f>(B17-B18)/(B21+B22)</f>
        <v>1000</v>
      </c>
      <c r="C24" s="1017"/>
      <c r="D24" s="1017"/>
      <c r="E24" s="1017"/>
      <c r="G24" s="10"/>
      <c r="H24" s="10"/>
    </row>
    <row r="25" spans="1:9" ht="30" customHeight="1" x14ac:dyDescent="0.25">
      <c r="A25" s="103" t="s">
        <v>305</v>
      </c>
      <c r="B25" s="1018">
        <f>B19*G25/1000</f>
        <v>0</v>
      </c>
      <c r="C25" s="1018"/>
      <c r="D25" s="1018"/>
      <c r="E25" s="1018"/>
      <c r="G25" s="10"/>
      <c r="H25" s="10"/>
    </row>
    <row r="26" spans="1:9" ht="30" customHeight="1" x14ac:dyDescent="0.25">
      <c r="A26" s="104" t="s">
        <v>303</v>
      </c>
      <c r="B26" s="1019">
        <f>B25/'Objectifs CO2'!C11</f>
        <v>0</v>
      </c>
      <c r="C26" s="1019"/>
      <c r="D26" s="1019"/>
      <c r="E26" s="1019"/>
    </row>
    <row r="27" spans="1:9" ht="30" customHeight="1" x14ac:dyDescent="0.25">
      <c r="A27" s="104" t="s">
        <v>304</v>
      </c>
      <c r="B27" s="1020">
        <f>B25/'Objectifs CO2'!C4</f>
        <v>0</v>
      </c>
      <c r="C27" s="1021"/>
      <c r="D27" s="1021"/>
      <c r="E27" s="1021"/>
    </row>
    <row r="28" spans="1:9" ht="30" customHeight="1" x14ac:dyDescent="0.25">
      <c r="A28" s="104"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479" t="s">
        <v>676</v>
      </c>
      <c r="F31" s="6"/>
      <c r="G31" s="6"/>
      <c r="H31" s="6"/>
      <c r="I31" s="6"/>
    </row>
    <row r="32" spans="1:9" ht="23.25" customHeight="1" x14ac:dyDescent="0.25">
      <c r="A32" s="377"/>
      <c r="B32" s="992" t="s">
        <v>677</v>
      </c>
      <c r="C32" s="992"/>
      <c r="D32" s="992"/>
      <c r="E32" s="374"/>
      <c r="F32" s="6"/>
      <c r="G32" s="1004" t="s">
        <v>676</v>
      </c>
      <c r="H32" s="1004"/>
      <c r="I32" s="1004"/>
    </row>
    <row r="33" spans="1:12" ht="23.25" customHeight="1" x14ac:dyDescent="0.25">
      <c r="A33" s="377"/>
      <c r="B33" s="992" t="s">
        <v>678</v>
      </c>
      <c r="C33" s="992"/>
      <c r="D33" s="992"/>
      <c r="E33" s="374"/>
      <c r="F33" s="6"/>
      <c r="G33" s="375">
        <v>3</v>
      </c>
      <c r="H33" s="1004" t="s">
        <v>679</v>
      </c>
      <c r="I33" s="1004"/>
    </row>
    <row r="34" spans="1:12" ht="23.25" customHeight="1" x14ac:dyDescent="0.25">
      <c r="A34" s="377"/>
      <c r="B34" s="992" t="s">
        <v>680</v>
      </c>
      <c r="C34" s="992"/>
      <c r="D34" s="992"/>
      <c r="E34" s="374"/>
      <c r="F34" s="6"/>
      <c r="G34" s="375">
        <v>2</v>
      </c>
      <c r="H34" s="1004" t="s">
        <v>681</v>
      </c>
      <c r="I34" s="1004"/>
    </row>
    <row r="35" spans="1:12" ht="23.25" customHeight="1" x14ac:dyDescent="0.25">
      <c r="A35" s="377"/>
      <c r="B35" s="992" t="s">
        <v>682</v>
      </c>
      <c r="C35" s="992"/>
      <c r="D35" s="992"/>
      <c r="E35" s="374"/>
      <c r="F35" s="6"/>
      <c r="G35" s="375">
        <v>1</v>
      </c>
      <c r="H35" s="1004" t="s">
        <v>683</v>
      </c>
      <c r="I35" s="1004"/>
    </row>
    <row r="36" spans="1:12" ht="23.25" customHeight="1" x14ac:dyDescent="0.25">
      <c r="A36" s="377"/>
      <c r="B36" s="992" t="s">
        <v>684</v>
      </c>
      <c r="C36" s="992"/>
      <c r="D36" s="992"/>
      <c r="E36" s="374"/>
      <c r="F36" s="6"/>
      <c r="G36" s="6"/>
      <c r="H36" s="6"/>
      <c r="I36" s="6"/>
    </row>
    <row r="37" spans="1:12" ht="23.25" customHeight="1" x14ac:dyDescent="0.25">
      <c r="A37" s="377"/>
      <c r="B37" s="992" t="s">
        <v>685</v>
      </c>
      <c r="C37" s="992"/>
      <c r="D37" s="992"/>
      <c r="E37" s="374"/>
      <c r="F37" s="6"/>
      <c r="G37" s="6"/>
      <c r="H37" s="6"/>
      <c r="I37" s="6"/>
    </row>
    <row r="38" spans="1:12" ht="23.25" customHeight="1" x14ac:dyDescent="0.25">
      <c r="A38" s="377"/>
      <c r="B38" s="992" t="s">
        <v>686</v>
      </c>
      <c r="C38" s="992"/>
      <c r="D38" s="992"/>
      <c r="E38" s="374"/>
      <c r="F38" s="6"/>
      <c r="G38" s="6"/>
      <c r="H38" s="6"/>
      <c r="I38" s="6"/>
    </row>
    <row r="39" spans="1:12" ht="23.25" customHeight="1" x14ac:dyDescent="0.25">
      <c r="A39" s="377"/>
      <c r="B39" s="992" t="s">
        <v>687</v>
      </c>
      <c r="C39" s="992"/>
      <c r="D39" s="992"/>
      <c r="E39" s="374"/>
      <c r="F39" s="6"/>
      <c r="G39" s="6"/>
      <c r="H39" s="6"/>
      <c r="I39" s="6"/>
    </row>
    <row r="40" spans="1:12" ht="23.25" customHeight="1" x14ac:dyDescent="0.25">
      <c r="A40" s="377"/>
      <c r="B40" s="992" t="s">
        <v>688</v>
      </c>
      <c r="C40" s="992"/>
      <c r="D40" s="992"/>
      <c r="E40" s="374"/>
      <c r="F40" s="6"/>
      <c r="G40" s="1005" t="s">
        <v>689</v>
      </c>
      <c r="H40" s="1005"/>
      <c r="I40" s="1005"/>
    </row>
    <row r="41" spans="1:12" ht="23.25" customHeight="1" x14ac:dyDescent="0.25">
      <c r="A41" s="377"/>
      <c r="B41" s="992" t="s">
        <v>843</v>
      </c>
      <c r="C41" s="992"/>
      <c r="D41" s="992"/>
      <c r="E41" s="374"/>
      <c r="F41" s="6"/>
      <c r="G41" s="377" t="s">
        <v>690</v>
      </c>
      <c r="H41" s="378" t="s">
        <v>691</v>
      </c>
      <c r="I41" s="377" t="s">
        <v>692</v>
      </c>
    </row>
    <row r="42" spans="1:12" ht="23.25" customHeight="1" x14ac:dyDescent="0.25">
      <c r="A42" s="377"/>
      <c r="B42" s="988" t="s">
        <v>247</v>
      </c>
      <c r="C42" s="988"/>
      <c r="D42" s="988"/>
      <c r="E42" s="376">
        <f>SUM(E32:E40)</f>
        <v>0</v>
      </c>
      <c r="F42" s="6"/>
      <c r="G42" s="377" t="s">
        <v>693</v>
      </c>
      <c r="H42" s="377" t="s">
        <v>694</v>
      </c>
      <c r="I42" s="377" t="s">
        <v>695</v>
      </c>
    </row>
    <row r="43" spans="1:12" ht="23.25" customHeight="1" x14ac:dyDescent="0.25">
      <c r="B43" s="6"/>
      <c r="C43" s="6"/>
      <c r="D43" s="6"/>
      <c r="E43" s="94" t="s">
        <v>730</v>
      </c>
      <c r="F43" s="6"/>
      <c r="G43" s="6"/>
      <c r="H43" s="6"/>
      <c r="I43" s="6"/>
    </row>
    <row r="44" spans="1:12" ht="23.25" customHeight="1" x14ac:dyDescent="0.25">
      <c r="B44" s="989" t="s">
        <v>696</v>
      </c>
      <c r="C44" s="990"/>
      <c r="D44" s="991"/>
      <c r="E44" s="267">
        <v>1</v>
      </c>
      <c r="F44" s="6"/>
      <c r="G44" s="377">
        <v>1</v>
      </c>
      <c r="H44" s="377" t="s">
        <v>697</v>
      </c>
      <c r="I44" s="6"/>
    </row>
    <row r="45" spans="1:12" ht="23.25" customHeight="1"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353" priority="1" operator="containsText" text="Terminé">
      <formula>NOT(ISERROR(SEARCH("Terminé",B5)))</formula>
    </cfRule>
    <cfRule type="containsText" dxfId="352" priority="2" operator="containsText" text="En cours">
      <formula>NOT(ISERROR(SEARCH("En cours",B5)))</formula>
    </cfRule>
    <cfRule type="containsText" dxfId="35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191"/>
  <sheetViews>
    <sheetView tabSelected="1" zoomScale="190" zoomScaleNormal="190" workbookViewId="0"/>
  </sheetViews>
  <sheetFormatPr baseColWidth="10" defaultRowHeight="15" x14ac:dyDescent="0.25"/>
  <cols>
    <col min="1" max="1" width="20.140625" customWidth="1"/>
    <col min="2" max="2" width="18.28515625" style="1" customWidth="1"/>
    <col min="6" max="6" width="14.42578125" customWidth="1"/>
    <col min="7" max="7" width="12.85546875" customWidth="1"/>
    <col min="10" max="14" width="9.5703125" customWidth="1"/>
    <col min="22" max="22" width="7.7109375" customWidth="1"/>
  </cols>
  <sheetData>
    <row r="1" spans="1:24" s="1" customFormat="1" ht="26.25" x14ac:dyDescent="0.4">
      <c r="A1" s="4" t="s">
        <v>49</v>
      </c>
      <c r="B1" s="11" t="s">
        <v>936</v>
      </c>
    </row>
    <row r="2" spans="1:24" x14ac:dyDescent="0.25">
      <c r="I2" s="961" t="s">
        <v>253</v>
      </c>
      <c r="K2" s="962" t="s">
        <v>840</v>
      </c>
      <c r="L2" s="962"/>
      <c r="W2" s="959" t="s">
        <v>760</v>
      </c>
      <c r="X2" s="959"/>
    </row>
    <row r="3" spans="1:24" ht="18.75" x14ac:dyDescent="0.3">
      <c r="A3" s="19" t="s">
        <v>59</v>
      </c>
      <c r="B3" s="203">
        <f>N35</f>
        <v>54204.29621977346</v>
      </c>
      <c r="C3" s="396" t="s">
        <v>12</v>
      </c>
      <c r="D3" s="396" t="s">
        <v>13</v>
      </c>
      <c r="E3" s="423" t="s">
        <v>30</v>
      </c>
      <c r="F3" s="422" t="s">
        <v>60</v>
      </c>
      <c r="G3" s="422" t="s">
        <v>61</v>
      </c>
      <c r="I3" s="961"/>
      <c r="K3" s="962" t="s">
        <v>753</v>
      </c>
      <c r="L3" s="962"/>
      <c r="O3" s="79" t="s">
        <v>292</v>
      </c>
      <c r="P3" s="79" t="s">
        <v>16</v>
      </c>
      <c r="R3" s="79" t="s">
        <v>411</v>
      </c>
      <c r="S3" s="6"/>
      <c r="T3" s="79" t="s">
        <v>7</v>
      </c>
      <c r="V3" s="416" t="s">
        <v>745</v>
      </c>
      <c r="W3" s="78" t="s">
        <v>761</v>
      </c>
      <c r="X3" s="78" t="s">
        <v>762</v>
      </c>
    </row>
    <row r="4" spans="1:24" ht="21" x14ac:dyDescent="0.35">
      <c r="A4" s="967" t="s">
        <v>506</v>
      </c>
      <c r="B4" s="279" t="s">
        <v>42</v>
      </c>
      <c r="C4" s="204">
        <f>B3*D4</f>
        <v>21681.718487909384</v>
      </c>
      <c r="D4" s="24">
        <v>0.4</v>
      </c>
      <c r="E4" s="205">
        <f>SUM(E5:E11)</f>
        <v>21681.73176139831</v>
      </c>
      <c r="F4" s="14">
        <f>E4/B$3</f>
        <v>0.40000024487890912</v>
      </c>
      <c r="G4" s="182">
        <f>E4/C$4</f>
        <v>1.0000006121972727</v>
      </c>
      <c r="H4" s="372">
        <f>'Synthèse CO2'!N140/'Objectifs CO2'!C4</f>
        <v>1.4603541243186884</v>
      </c>
      <c r="I4" s="83">
        <f>E4/N35</f>
        <v>0.40000024487890912</v>
      </c>
      <c r="O4" s="367" t="s">
        <v>380</v>
      </c>
      <c r="P4" s="79" t="s">
        <v>17</v>
      </c>
      <c r="R4" s="79" t="s">
        <v>45</v>
      </c>
      <c r="S4" s="6"/>
      <c r="T4" s="79" t="s">
        <v>248</v>
      </c>
      <c r="V4" s="236" t="s">
        <v>744</v>
      </c>
      <c r="W4" s="399">
        <v>1</v>
      </c>
      <c r="X4" s="399">
        <v>19</v>
      </c>
    </row>
    <row r="5" spans="1:24" s="6" customFormat="1" ht="15" customHeight="1" x14ac:dyDescent="0.25">
      <c r="A5" s="967"/>
      <c r="B5" s="219" t="s">
        <v>380</v>
      </c>
      <c r="C5" s="16">
        <f>C$4*D5</f>
        <v>1084.0859243954692</v>
      </c>
      <c r="D5" s="17">
        <v>0.05</v>
      </c>
      <c r="E5" s="18">
        <f>SUM('Synthèse CO2'!S138)</f>
        <v>519.60710559917231</v>
      </c>
      <c r="F5" s="14">
        <f>E5/B$3</f>
        <v>9.5860871155379421E-3</v>
      </c>
      <c r="G5" s="26">
        <f>E5/C$4</f>
        <v>2.3965217788844854E-2</v>
      </c>
      <c r="I5" s="83"/>
      <c r="L5" s="218" t="s">
        <v>380</v>
      </c>
      <c r="M5" s="217">
        <f t="shared" ref="M5:M10" si="0">E5/E$4</f>
        <v>2.3965203117412865E-2</v>
      </c>
      <c r="O5" s="20" t="s">
        <v>36</v>
      </c>
      <c r="P5" s="79" t="s">
        <v>18</v>
      </c>
      <c r="R5" s="79" t="s">
        <v>412</v>
      </c>
      <c r="T5" s="79" t="s">
        <v>413</v>
      </c>
      <c r="V5" s="236" t="s">
        <v>434</v>
      </c>
      <c r="W5" s="399">
        <v>20</v>
      </c>
      <c r="X5" s="399">
        <v>39</v>
      </c>
    </row>
    <row r="6" spans="1:24" x14ac:dyDescent="0.25">
      <c r="A6" s="967"/>
      <c r="B6" s="280" t="s">
        <v>36</v>
      </c>
      <c r="C6" s="16">
        <f t="shared" ref="C6:C11" si="1">C$4*D6</f>
        <v>1084.0859243954692</v>
      </c>
      <c r="D6" s="17">
        <v>0.05</v>
      </c>
      <c r="E6" s="18">
        <f>SUM('Synthèse CO2'!T138)</f>
        <v>0</v>
      </c>
      <c r="F6" s="14">
        <f t="shared" ref="F6:F11" si="2">E6/B$3</f>
        <v>0</v>
      </c>
      <c r="G6" s="26">
        <f t="shared" ref="G6:G11" si="3">E6/C$4</f>
        <v>0</v>
      </c>
      <c r="I6" s="83">
        <f>E6/N30</f>
        <v>0</v>
      </c>
      <c r="L6" s="13" t="s">
        <v>36</v>
      </c>
      <c r="M6" s="217">
        <f t="shared" si="0"/>
        <v>0</v>
      </c>
      <c r="O6" s="368" t="s">
        <v>54</v>
      </c>
      <c r="P6" s="79" t="s">
        <v>19</v>
      </c>
      <c r="R6" s="79" t="s">
        <v>424</v>
      </c>
      <c r="S6" s="6"/>
      <c r="T6" s="79" t="s">
        <v>418</v>
      </c>
      <c r="V6" s="236" t="s">
        <v>742</v>
      </c>
      <c r="W6" s="399">
        <v>40</v>
      </c>
      <c r="X6" s="399">
        <v>59</v>
      </c>
    </row>
    <row r="7" spans="1:24" x14ac:dyDescent="0.25">
      <c r="A7" s="967"/>
      <c r="B7" s="281" t="s">
        <v>54</v>
      </c>
      <c r="C7" s="16">
        <f t="shared" si="1"/>
        <v>1084.0859243954692</v>
      </c>
      <c r="D7" s="17">
        <v>0.05</v>
      </c>
      <c r="E7" s="18">
        <f>SUM('Synthèse CO2'!U138)</f>
        <v>3073.8093019976477</v>
      </c>
      <c r="F7" s="14">
        <f t="shared" si="2"/>
        <v>5.6707853737917133E-2</v>
      </c>
      <c r="G7" s="26">
        <f t="shared" si="3"/>
        <v>0.14176963434479281</v>
      </c>
      <c r="I7" s="83">
        <f>E7/N31</f>
        <v>0.1993379183140026</v>
      </c>
      <c r="L7" s="80" t="s">
        <v>54</v>
      </c>
      <c r="M7" s="217">
        <f t="shared" si="0"/>
        <v>0.14176954755386245</v>
      </c>
      <c r="O7" s="20" t="s">
        <v>31</v>
      </c>
      <c r="P7" s="79" t="s">
        <v>41</v>
      </c>
      <c r="R7" s="79" t="s">
        <v>414</v>
      </c>
      <c r="S7" s="6"/>
      <c r="T7" s="79" t="s">
        <v>426</v>
      </c>
      <c r="V7" s="236" t="s">
        <v>457</v>
      </c>
      <c r="W7" s="398">
        <v>1</v>
      </c>
      <c r="X7" s="398">
        <v>49</v>
      </c>
    </row>
    <row r="8" spans="1:24" x14ac:dyDescent="0.25">
      <c r="A8" s="967"/>
      <c r="B8" s="280" t="s">
        <v>31</v>
      </c>
      <c r="C8" s="16">
        <f t="shared" si="1"/>
        <v>10840.859243954692</v>
      </c>
      <c r="D8" s="17">
        <v>0.5</v>
      </c>
      <c r="E8" s="18">
        <f>SUM('Synthèse CO2'!V138)</f>
        <v>5299.5102580225721</v>
      </c>
      <c r="F8" s="14">
        <f t="shared" si="2"/>
        <v>9.7769192252501511E-2</v>
      </c>
      <c r="G8" s="26">
        <f t="shared" si="3"/>
        <v>0.24442298063125376</v>
      </c>
      <c r="I8" s="83">
        <f>E8/N32</f>
        <v>0.25639949773360465</v>
      </c>
      <c r="L8" s="13" t="s">
        <v>31</v>
      </c>
      <c r="M8" s="217">
        <f t="shared" si="0"/>
        <v>0.24442283099626325</v>
      </c>
      <c r="O8" s="20" t="s">
        <v>38</v>
      </c>
      <c r="P8" s="79" t="s">
        <v>20</v>
      </c>
      <c r="R8" s="79" t="s">
        <v>415</v>
      </c>
      <c r="S8" s="6"/>
      <c r="T8" s="79" t="s">
        <v>427</v>
      </c>
      <c r="V8" s="236" t="s">
        <v>746</v>
      </c>
      <c r="W8" s="398">
        <v>50</v>
      </c>
      <c r="X8" s="398">
        <v>69</v>
      </c>
    </row>
    <row r="9" spans="1:24" x14ac:dyDescent="0.25">
      <c r="A9" s="967"/>
      <c r="B9" s="280" t="s">
        <v>38</v>
      </c>
      <c r="C9" s="16">
        <f t="shared" si="1"/>
        <v>2168.1718487909384</v>
      </c>
      <c r="D9" s="17">
        <v>0.1</v>
      </c>
      <c r="E9" s="18">
        <f>SUM('Synthèse CO2'!W138)</f>
        <v>1358.4517588636363</v>
      </c>
      <c r="F9" s="14">
        <f t="shared" si="2"/>
        <v>2.5061699046063434E-2</v>
      </c>
      <c r="G9" s="26">
        <f t="shared" si="3"/>
        <v>6.2654247615158587E-2</v>
      </c>
      <c r="I9" s="83">
        <f>E9/N33</f>
        <v>0.21464036766303821</v>
      </c>
      <c r="L9" s="13" t="s">
        <v>38</v>
      </c>
      <c r="M9" s="217">
        <f t="shared" si="0"/>
        <v>6.265420925842255E-2</v>
      </c>
      <c r="O9" s="20" t="s">
        <v>34</v>
      </c>
      <c r="R9" s="79" t="s">
        <v>425</v>
      </c>
      <c r="S9" s="6"/>
      <c r="T9" s="79" t="s">
        <v>26</v>
      </c>
      <c r="V9" s="236" t="s">
        <v>747</v>
      </c>
      <c r="W9" s="398">
        <v>70</v>
      </c>
      <c r="X9" s="398">
        <v>99</v>
      </c>
    </row>
    <row r="10" spans="1:24" s="6" customFormat="1" x14ac:dyDescent="0.25">
      <c r="A10" s="967"/>
      <c r="B10" s="280" t="s">
        <v>34</v>
      </c>
      <c r="C10" s="16">
        <f t="shared" si="1"/>
        <v>3252.2577731864076</v>
      </c>
      <c r="D10" s="17">
        <v>0.15</v>
      </c>
      <c r="E10" s="18">
        <f>SUM('Synthèse CO2'!X138)</f>
        <v>287.35028426817206</v>
      </c>
      <c r="F10" s="14">
        <f t="shared" si="2"/>
        <v>5.3012455526237068E-3</v>
      </c>
      <c r="G10" s="26">
        <f t="shared" si="3"/>
        <v>1.3253113881559267E-2</v>
      </c>
      <c r="I10" s="83">
        <f>E10/N34</f>
        <v>2.6354477973965753E-2</v>
      </c>
      <c r="L10" s="13" t="s">
        <v>34</v>
      </c>
      <c r="M10" s="217">
        <f t="shared" si="0"/>
        <v>1.325310576804406E-2</v>
      </c>
      <c r="O10" s="20" t="s">
        <v>37</v>
      </c>
      <c r="R10" s="79" t="s">
        <v>417</v>
      </c>
      <c r="S10"/>
      <c r="T10" s="79" t="s">
        <v>416</v>
      </c>
      <c r="V10" s="236" t="s">
        <v>748</v>
      </c>
      <c r="W10" s="398">
        <v>100</v>
      </c>
      <c r="X10" s="398">
        <v>119</v>
      </c>
    </row>
    <row r="11" spans="1:24" x14ac:dyDescent="0.25">
      <c r="A11" s="967"/>
      <c r="B11" s="280" t="s">
        <v>37</v>
      </c>
      <c r="C11" s="16">
        <f t="shared" si="1"/>
        <v>2168.1718487909384</v>
      </c>
      <c r="D11" s="17">
        <v>0.1</v>
      </c>
      <c r="E11" s="18">
        <f>SUM('Synthèse CO2'!Y138)</f>
        <v>11143.003052647109</v>
      </c>
      <c r="F11" s="12">
        <f t="shared" si="2"/>
        <v>0.20557416717426535</v>
      </c>
      <c r="G11" s="27">
        <f t="shared" si="3"/>
        <v>0.51393541793566344</v>
      </c>
      <c r="I11" s="83"/>
      <c r="L11" s="13" t="s">
        <v>37</v>
      </c>
      <c r="M11" s="217">
        <f>E11/E$4</f>
        <v>0.51393510330599479</v>
      </c>
      <c r="R11" s="79" t="s">
        <v>608</v>
      </c>
      <c r="T11" s="6" t="s">
        <v>608</v>
      </c>
      <c r="V11" s="236" t="s">
        <v>749</v>
      </c>
      <c r="W11" s="398">
        <v>120</v>
      </c>
      <c r="X11" s="398">
        <v>139</v>
      </c>
    </row>
    <row r="12" spans="1:24" x14ac:dyDescent="0.25">
      <c r="A12" s="3"/>
      <c r="D12" s="15">
        <f>SUM(D5:D11)</f>
        <v>1</v>
      </c>
      <c r="M12" s="15">
        <f>SUM(M5:M11)</f>
        <v>1</v>
      </c>
      <c r="V12" s="236" t="s">
        <v>486</v>
      </c>
      <c r="W12" s="398">
        <v>140</v>
      </c>
      <c r="X12" s="398">
        <v>149</v>
      </c>
    </row>
    <row r="13" spans="1:24" x14ac:dyDescent="0.25">
      <c r="V13" s="78" t="s">
        <v>769</v>
      </c>
      <c r="W13" s="418">
        <v>0</v>
      </c>
      <c r="X13" s="418">
        <v>19</v>
      </c>
    </row>
    <row r="14" spans="1:24" s="6" customFormat="1" x14ac:dyDescent="0.25">
      <c r="B14" s="971" t="s">
        <v>632</v>
      </c>
      <c r="C14" s="971"/>
      <c r="D14" s="971"/>
      <c r="E14" s="971"/>
      <c r="F14" s="971"/>
      <c r="G14" s="972" t="s">
        <v>631</v>
      </c>
      <c r="H14" s="973"/>
      <c r="I14" s="973"/>
      <c r="J14" s="973"/>
      <c r="K14" s="973"/>
      <c r="L14" s="973"/>
      <c r="M14" s="973"/>
      <c r="N14" s="973"/>
      <c r="O14" s="973"/>
      <c r="P14" s="973"/>
      <c r="Q14" s="973"/>
      <c r="R14" s="973"/>
      <c r="S14" s="964" t="s">
        <v>630</v>
      </c>
      <c r="T14" s="964"/>
      <c r="U14" s="964"/>
      <c r="V14" s="234" t="s">
        <v>765</v>
      </c>
      <c r="W14" s="418">
        <v>20</v>
      </c>
      <c r="X14" s="418">
        <v>39</v>
      </c>
    </row>
    <row r="15" spans="1:24" x14ac:dyDescent="0.25">
      <c r="B15" s="971" t="s">
        <v>744</v>
      </c>
      <c r="C15" s="971"/>
      <c r="D15" s="971" t="s">
        <v>434</v>
      </c>
      <c r="E15" s="971"/>
      <c r="F15" s="564" t="s">
        <v>742</v>
      </c>
      <c r="G15" s="972" t="s">
        <v>457</v>
      </c>
      <c r="H15" s="973"/>
      <c r="I15" s="973"/>
      <c r="J15" s="973"/>
      <c r="K15" s="965" t="s">
        <v>746</v>
      </c>
      <c r="L15" s="966"/>
      <c r="M15" s="968" t="s">
        <v>747</v>
      </c>
      <c r="N15" s="969"/>
      <c r="O15" s="970"/>
      <c r="P15" s="398" t="s">
        <v>748</v>
      </c>
      <c r="Q15" s="398" t="s">
        <v>813</v>
      </c>
      <c r="R15" s="421" t="s">
        <v>814</v>
      </c>
      <c r="S15" s="964" t="s">
        <v>815</v>
      </c>
      <c r="T15" s="964"/>
      <c r="U15" s="411" t="s">
        <v>816</v>
      </c>
    </row>
    <row r="16" spans="1:24" x14ac:dyDescent="0.25">
      <c r="B16" s="370" t="s">
        <v>122</v>
      </c>
      <c r="C16" s="590" t="s">
        <v>245</v>
      </c>
      <c r="D16" s="370" t="s">
        <v>770</v>
      </c>
      <c r="E16" s="370" t="s">
        <v>868</v>
      </c>
      <c r="F16" s="370" t="s">
        <v>779</v>
      </c>
      <c r="G16" s="369" t="s">
        <v>70</v>
      </c>
      <c r="H16" s="369" t="s">
        <v>485</v>
      </c>
      <c r="I16" s="369" t="s">
        <v>95</v>
      </c>
      <c r="J16" s="369" t="s">
        <v>103</v>
      </c>
      <c r="K16" s="369" t="s">
        <v>812</v>
      </c>
      <c r="L16" s="369" t="s">
        <v>921</v>
      </c>
      <c r="M16" s="369" t="s">
        <v>805</v>
      </c>
      <c r="N16" s="369" t="s">
        <v>798</v>
      </c>
      <c r="O16" s="369" t="s">
        <v>795</v>
      </c>
      <c r="P16" s="369" t="s">
        <v>792</v>
      </c>
      <c r="Q16" s="501"/>
      <c r="R16" s="369" t="s">
        <v>785</v>
      </c>
      <c r="S16" s="371" t="s">
        <v>617</v>
      </c>
      <c r="T16" s="371" t="s">
        <v>627</v>
      </c>
      <c r="U16" s="371" t="s">
        <v>784</v>
      </c>
    </row>
    <row r="17" spans="2:29" x14ac:dyDescent="0.25">
      <c r="B17" s="370" t="s">
        <v>123</v>
      </c>
      <c r="C17" s="410"/>
      <c r="D17" s="370" t="s">
        <v>771</v>
      </c>
      <c r="E17" s="370" t="s">
        <v>869</v>
      </c>
      <c r="F17" s="370" t="s">
        <v>780</v>
      </c>
      <c r="G17" s="369" t="s">
        <v>71</v>
      </c>
      <c r="H17" s="369" t="s">
        <v>82</v>
      </c>
      <c r="I17" s="369" t="s">
        <v>96</v>
      </c>
      <c r="J17" s="369" t="s">
        <v>105</v>
      </c>
      <c r="K17" s="369" t="s">
        <v>811</v>
      </c>
      <c r="L17" s="369" t="s">
        <v>251</v>
      </c>
      <c r="M17" s="369" t="s">
        <v>804</v>
      </c>
      <c r="N17" s="369" t="s">
        <v>797</v>
      </c>
      <c r="O17" s="369" t="s">
        <v>794</v>
      </c>
      <c r="P17" s="369" t="s">
        <v>791</v>
      </c>
      <c r="Q17" s="369" t="s">
        <v>789</v>
      </c>
      <c r="R17" s="398"/>
      <c r="S17" s="371" t="s">
        <v>618</v>
      </c>
      <c r="T17" s="371" t="s">
        <v>628</v>
      </c>
      <c r="U17" s="371" t="s">
        <v>783</v>
      </c>
    </row>
    <row r="18" spans="2:29" x14ac:dyDescent="0.25">
      <c r="B18" s="370" t="s">
        <v>78</v>
      </c>
      <c r="C18" s="410"/>
      <c r="D18" s="370" t="s">
        <v>772</v>
      </c>
      <c r="E18" s="370" t="s">
        <v>870</v>
      </c>
      <c r="F18" s="564"/>
      <c r="G18" s="369" t="s">
        <v>72</v>
      </c>
      <c r="H18" s="369" t="s">
        <v>84</v>
      </c>
      <c r="I18" s="369" t="s">
        <v>97</v>
      </c>
      <c r="J18" s="369" t="s">
        <v>112</v>
      </c>
      <c r="K18" s="369" t="s">
        <v>810</v>
      </c>
      <c r="L18" s="369" t="s">
        <v>1038</v>
      </c>
      <c r="M18" s="369" t="s">
        <v>803</v>
      </c>
      <c r="N18" s="369" t="s">
        <v>796</v>
      </c>
      <c r="O18" s="369" t="s">
        <v>793</v>
      </c>
      <c r="P18" s="369" t="s">
        <v>790</v>
      </c>
      <c r="Q18" s="369" t="s">
        <v>788</v>
      </c>
      <c r="R18" s="398"/>
      <c r="S18" s="371" t="s">
        <v>619</v>
      </c>
      <c r="T18" s="371" t="s">
        <v>629</v>
      </c>
      <c r="U18" s="371" t="s">
        <v>782</v>
      </c>
    </row>
    <row r="19" spans="2:29" x14ac:dyDescent="0.25">
      <c r="B19" s="370" t="s">
        <v>126</v>
      </c>
      <c r="C19" s="410"/>
      <c r="D19" s="370" t="s">
        <v>773</v>
      </c>
      <c r="E19" s="370" t="s">
        <v>871</v>
      </c>
      <c r="F19" s="410"/>
      <c r="G19" s="369" t="s">
        <v>759</v>
      </c>
      <c r="H19" s="369" t="s">
        <v>88</v>
      </c>
      <c r="I19" s="369" t="s">
        <v>99</v>
      </c>
      <c r="J19" s="369" t="s">
        <v>113</v>
      </c>
      <c r="K19" s="369" t="s">
        <v>809</v>
      </c>
      <c r="L19" s="369" t="s">
        <v>1039</v>
      </c>
      <c r="M19" s="369" t="s">
        <v>802</v>
      </c>
      <c r="N19" s="369" t="s">
        <v>841</v>
      </c>
      <c r="O19" s="369" t="s">
        <v>902</v>
      </c>
      <c r="P19" s="369" t="s">
        <v>849</v>
      </c>
      <c r="Q19" s="369" t="s">
        <v>787</v>
      </c>
      <c r="R19" s="398"/>
      <c r="S19" s="371" t="s">
        <v>620</v>
      </c>
      <c r="T19" s="411"/>
      <c r="U19" s="371" t="s">
        <v>781</v>
      </c>
      <c r="V19" s="1"/>
      <c r="W19" s="1"/>
      <c r="X19" s="1"/>
    </row>
    <row r="20" spans="2:29" s="1" customFormat="1" x14ac:dyDescent="0.25">
      <c r="B20" s="370" t="s">
        <v>132</v>
      </c>
      <c r="C20" s="410"/>
      <c r="D20" s="370" t="s">
        <v>774</v>
      </c>
      <c r="E20" s="370" t="s">
        <v>987</v>
      </c>
      <c r="F20" s="410"/>
      <c r="G20" s="369" t="s">
        <v>73</v>
      </c>
      <c r="H20" s="369" t="s">
        <v>89</v>
      </c>
      <c r="I20" s="369" t="s">
        <v>101</v>
      </c>
      <c r="J20" s="369" t="s">
        <v>114</v>
      </c>
      <c r="K20" s="369" t="s">
        <v>808</v>
      </c>
      <c r="L20" s="369" t="s">
        <v>1040</v>
      </c>
      <c r="M20" s="369" t="s">
        <v>801</v>
      </c>
      <c r="N20" s="398"/>
      <c r="O20" s="369" t="s">
        <v>903</v>
      </c>
      <c r="P20" s="398"/>
      <c r="Q20" s="369" t="s">
        <v>786</v>
      </c>
      <c r="R20" s="398"/>
      <c r="S20" s="371" t="s">
        <v>621</v>
      </c>
      <c r="T20" s="411"/>
      <c r="U20" s="411"/>
      <c r="V20"/>
      <c r="W20"/>
      <c r="X20"/>
    </row>
    <row r="21" spans="2:29" x14ac:dyDescent="0.25">
      <c r="B21" s="370" t="s">
        <v>131</v>
      </c>
      <c r="C21" s="410"/>
      <c r="D21" s="370" t="s">
        <v>775</v>
      </c>
      <c r="E21" s="370" t="s">
        <v>990</v>
      </c>
      <c r="F21" s="410"/>
      <c r="G21" s="369" t="s">
        <v>74</v>
      </c>
      <c r="H21" s="369" t="s">
        <v>90</v>
      </c>
      <c r="I21" s="369" t="s">
        <v>190</v>
      </c>
      <c r="J21" s="369" t="s">
        <v>116</v>
      </c>
      <c r="K21" s="369" t="s">
        <v>807</v>
      </c>
      <c r="L21" s="369" t="s">
        <v>1041</v>
      </c>
      <c r="M21" s="369" t="s">
        <v>800</v>
      </c>
      <c r="N21" s="398"/>
      <c r="O21" s="369" t="s">
        <v>904</v>
      </c>
      <c r="P21" s="398"/>
      <c r="Q21" s="398"/>
      <c r="R21" s="398"/>
      <c r="S21" s="371" t="s">
        <v>622</v>
      </c>
      <c r="T21" s="411"/>
      <c r="U21" s="411"/>
    </row>
    <row r="22" spans="2:29" x14ac:dyDescent="0.25">
      <c r="B22" s="370" t="s">
        <v>125</v>
      </c>
      <c r="C22" s="410"/>
      <c r="D22" s="370" t="s">
        <v>776</v>
      </c>
      <c r="E22" s="370" t="s">
        <v>1016</v>
      </c>
      <c r="F22" s="410"/>
      <c r="G22" s="369" t="s">
        <v>75</v>
      </c>
      <c r="H22" s="369" t="s">
        <v>91</v>
      </c>
      <c r="I22" s="369" t="s">
        <v>191</v>
      </c>
      <c r="J22" s="576"/>
      <c r="K22" s="369" t="s">
        <v>806</v>
      </c>
      <c r="L22" s="512"/>
      <c r="M22" s="369" t="s">
        <v>799</v>
      </c>
      <c r="N22" s="398"/>
      <c r="O22" s="398"/>
      <c r="P22" s="398"/>
      <c r="Q22" s="398"/>
      <c r="R22" s="398"/>
      <c r="S22" s="371" t="s">
        <v>623</v>
      </c>
      <c r="T22" s="411"/>
      <c r="U22" s="411"/>
    </row>
    <row r="23" spans="2:29" x14ac:dyDescent="0.25">
      <c r="B23" s="370" t="s">
        <v>134</v>
      </c>
      <c r="C23" s="410"/>
      <c r="D23" s="370" t="s">
        <v>777</v>
      </c>
      <c r="E23" s="564"/>
      <c r="F23" s="410"/>
      <c r="G23" s="369" t="s">
        <v>79</v>
      </c>
      <c r="H23" s="369" t="s">
        <v>92</v>
      </c>
      <c r="I23" s="369" t="s">
        <v>208</v>
      </c>
      <c r="J23" s="277"/>
      <c r="K23" s="369" t="s">
        <v>906</v>
      </c>
      <c r="L23" s="512"/>
      <c r="M23" s="369" t="s">
        <v>844</v>
      </c>
      <c r="N23" s="398"/>
      <c r="O23" s="398"/>
      <c r="P23" s="398"/>
      <c r="Q23" s="398"/>
      <c r="R23" s="398"/>
      <c r="S23" s="371" t="s">
        <v>624</v>
      </c>
      <c r="T23" s="397"/>
      <c r="U23" s="411"/>
    </row>
    <row r="24" spans="2:29" x14ac:dyDescent="0.25">
      <c r="B24" s="370" t="s">
        <v>135</v>
      </c>
      <c r="C24" s="410"/>
      <c r="D24" s="370" t="s">
        <v>778</v>
      </c>
      <c r="E24" s="564"/>
      <c r="F24" s="410"/>
      <c r="G24" s="369" t="s">
        <v>80</v>
      </c>
      <c r="H24" s="369" t="s">
        <v>93</v>
      </c>
      <c r="I24" s="576"/>
      <c r="J24" s="576"/>
      <c r="K24" s="369" t="s">
        <v>923</v>
      </c>
      <c r="L24" s="512"/>
      <c r="M24" s="398"/>
      <c r="N24" s="398"/>
      <c r="O24" s="398"/>
      <c r="P24" s="398"/>
      <c r="Q24" s="398"/>
      <c r="R24" s="398"/>
      <c r="S24" s="371" t="s">
        <v>625</v>
      </c>
      <c r="T24" s="397"/>
      <c r="U24" s="411"/>
    </row>
    <row r="25" spans="2:29" x14ac:dyDescent="0.25">
      <c r="B25" s="370" t="s">
        <v>244</v>
      </c>
      <c r="C25" s="410"/>
      <c r="D25" s="370" t="s">
        <v>867</v>
      </c>
      <c r="E25" s="370" t="s">
        <v>1022</v>
      </c>
      <c r="F25" s="410"/>
      <c r="G25" s="369" t="s">
        <v>81</v>
      </c>
      <c r="H25" s="369" t="s">
        <v>94</v>
      </c>
      <c r="I25" s="576"/>
      <c r="J25" s="576"/>
      <c r="K25" s="369" t="s">
        <v>922</v>
      </c>
      <c r="L25" s="512"/>
      <c r="M25" s="398"/>
      <c r="N25" s="398"/>
      <c r="O25" s="398"/>
      <c r="P25" s="398"/>
      <c r="Q25" s="398"/>
      <c r="R25" s="398"/>
      <c r="S25" s="371" t="s">
        <v>626</v>
      </c>
      <c r="T25" s="397"/>
      <c r="U25" s="411"/>
    </row>
    <row r="27" spans="2:29" x14ac:dyDescent="0.25">
      <c r="V27" s="195"/>
    </row>
    <row r="28" spans="2:29" x14ac:dyDescent="0.25">
      <c r="I28" s="194"/>
      <c r="J28" s="963" t="s">
        <v>56</v>
      </c>
      <c r="K28" s="963"/>
      <c r="L28" s="963"/>
      <c r="M28" s="963"/>
      <c r="N28" s="963"/>
      <c r="O28" s="195"/>
      <c r="P28" s="194"/>
      <c r="Q28" s="960" t="s">
        <v>456</v>
      </c>
      <c r="R28" s="960"/>
      <c r="S28" s="960"/>
      <c r="T28" s="960"/>
      <c r="U28" s="960"/>
      <c r="V28" s="195"/>
      <c r="W28" s="194"/>
      <c r="X28" s="960" t="s">
        <v>64</v>
      </c>
      <c r="Y28" s="960"/>
      <c r="Z28" s="960"/>
      <c r="AA28" s="960"/>
      <c r="AB28" s="960"/>
      <c r="AC28" s="6"/>
    </row>
    <row r="29" spans="2:29" x14ac:dyDescent="0.25">
      <c r="I29" s="540">
        <v>2006</v>
      </c>
      <c r="J29" s="196" t="s">
        <v>50</v>
      </c>
      <c r="K29" s="196" t="s">
        <v>51</v>
      </c>
      <c r="L29" s="196" t="s">
        <v>52</v>
      </c>
      <c r="M29" s="196" t="s">
        <v>57</v>
      </c>
      <c r="N29" s="196" t="s">
        <v>53</v>
      </c>
      <c r="O29" s="195"/>
      <c r="P29" s="197">
        <v>2006</v>
      </c>
      <c r="Q29" s="198" t="s">
        <v>50</v>
      </c>
      <c r="R29" s="198" t="s">
        <v>51</v>
      </c>
      <c r="S29" s="198" t="s">
        <v>52</v>
      </c>
      <c r="T29" s="198" t="s">
        <v>57</v>
      </c>
      <c r="U29" s="198" t="s">
        <v>53</v>
      </c>
      <c r="V29" s="195"/>
      <c r="W29" s="197">
        <v>2006</v>
      </c>
      <c r="X29" s="198" t="s">
        <v>50</v>
      </c>
      <c r="Y29" s="198" t="s">
        <v>51</v>
      </c>
      <c r="Z29" s="198" t="s">
        <v>52</v>
      </c>
      <c r="AA29" s="198" t="s">
        <v>57</v>
      </c>
      <c r="AB29" s="198" t="s">
        <v>53</v>
      </c>
      <c r="AC29" s="6"/>
    </row>
    <row r="30" spans="2:29" x14ac:dyDescent="0.25">
      <c r="B30"/>
      <c r="I30" s="464" t="s">
        <v>36</v>
      </c>
      <c r="J30" s="551">
        <v>54.665354061898213</v>
      </c>
      <c r="K30" s="552">
        <v>0</v>
      </c>
      <c r="L30" s="553">
        <v>828.33230499678359</v>
      </c>
      <c r="M30" s="552">
        <v>0</v>
      </c>
      <c r="N30" s="553">
        <v>882.99765905868185</v>
      </c>
      <c r="O30" s="195"/>
      <c r="P30" s="465" t="s">
        <v>36</v>
      </c>
      <c r="Q30" s="495">
        <v>0.1973478485989105</v>
      </c>
      <c r="R30" s="197"/>
      <c r="S30" s="495">
        <v>3.0884873415241745</v>
      </c>
      <c r="T30" s="197"/>
      <c r="U30" s="496">
        <v>3.2858351901230849</v>
      </c>
      <c r="V30" s="195"/>
      <c r="W30" s="465" t="s">
        <v>36</v>
      </c>
      <c r="X30" s="495">
        <v>197.3478485989105</v>
      </c>
      <c r="Y30" s="495">
        <v>0</v>
      </c>
      <c r="Z30" s="495">
        <v>3088.4873415241746</v>
      </c>
      <c r="AA30" s="495">
        <v>0</v>
      </c>
      <c r="AB30" s="495">
        <v>3285.8351901230849</v>
      </c>
      <c r="AC30" s="6"/>
    </row>
    <row r="31" spans="2:29" x14ac:dyDescent="0.25">
      <c r="B31"/>
      <c r="I31" s="464" t="s">
        <v>69</v>
      </c>
      <c r="J31" s="553">
        <v>10660.259538345292</v>
      </c>
      <c r="K31" s="553">
        <v>4627.3944918884717</v>
      </c>
      <c r="L31" s="553">
        <v>132.43928666191243</v>
      </c>
      <c r="M31" s="553">
        <v>0</v>
      </c>
      <c r="N31" s="553">
        <v>15420.093316895676</v>
      </c>
      <c r="O31" s="195"/>
      <c r="P31" s="465" t="s">
        <v>69</v>
      </c>
      <c r="Q31" s="466">
        <v>38.484691474170724</v>
      </c>
      <c r="R31" s="466">
        <v>22.82878387710149</v>
      </c>
      <c r="S31" s="466">
        <v>0.49380792938818951</v>
      </c>
      <c r="T31" s="466">
        <v>0</v>
      </c>
      <c r="U31" s="496">
        <v>61.807283280660407</v>
      </c>
      <c r="V31" s="195"/>
      <c r="W31" s="465" t="s">
        <v>69</v>
      </c>
      <c r="X31" s="495">
        <v>38484.691474170722</v>
      </c>
      <c r="Y31" s="495">
        <v>22828.78387710149</v>
      </c>
      <c r="Z31" s="495">
        <v>493.80792938818951</v>
      </c>
      <c r="AA31" s="495">
        <v>0</v>
      </c>
      <c r="AB31" s="495">
        <v>61807.283280660406</v>
      </c>
      <c r="AC31" s="6"/>
    </row>
    <row r="32" spans="2:29" x14ac:dyDescent="0.25">
      <c r="I32" s="464" t="s">
        <v>31</v>
      </c>
      <c r="J32" s="553">
        <v>4597.7784958049206</v>
      </c>
      <c r="K32" s="553">
        <v>3370.6534490144518</v>
      </c>
      <c r="L32" s="553">
        <v>12573.840705478799</v>
      </c>
      <c r="M32" s="553">
        <v>126.68460143828345</v>
      </c>
      <c r="N32" s="553">
        <v>20668.957251736454</v>
      </c>
      <c r="O32" s="195"/>
      <c r="P32" s="465" t="s">
        <v>31</v>
      </c>
      <c r="Q32" s="466">
        <v>16.598478324205487</v>
      </c>
      <c r="R32" s="466">
        <v>16.628778732187726</v>
      </c>
      <c r="S32" s="466">
        <v>46.882329252344512</v>
      </c>
      <c r="T32" s="466">
        <v>4.0474313558557009</v>
      </c>
      <c r="U32" s="496">
        <v>84.15701766459344</v>
      </c>
      <c r="V32" s="195"/>
      <c r="W32" s="465" t="s">
        <v>31</v>
      </c>
      <c r="X32" s="495">
        <v>16598.478324205487</v>
      </c>
      <c r="Y32" s="495">
        <v>16628.778732187726</v>
      </c>
      <c r="Z32" s="495">
        <v>46882.329252344512</v>
      </c>
      <c r="AA32" s="495">
        <v>4047.431355855701</v>
      </c>
      <c r="AB32" s="495">
        <v>84157.017664593441</v>
      </c>
      <c r="AC32" s="6"/>
    </row>
    <row r="33" spans="2:31" x14ac:dyDescent="0.25">
      <c r="B33"/>
      <c r="I33" s="464" t="s">
        <v>38</v>
      </c>
      <c r="J33" s="553">
        <v>3637.240638182785</v>
      </c>
      <c r="K33" s="553">
        <v>1634.1282510476699</v>
      </c>
      <c r="L33" s="553">
        <v>1057.2729282013402</v>
      </c>
      <c r="M33" s="553">
        <v>0.3249731779582547</v>
      </c>
      <c r="N33" s="553">
        <v>6328.9667906097529</v>
      </c>
      <c r="O33" s="195"/>
      <c r="P33" s="465" t="s">
        <v>38</v>
      </c>
      <c r="Q33" s="466">
        <v>13.130832628818718</v>
      </c>
      <c r="R33" s="466">
        <v>8.0618068625933397</v>
      </c>
      <c r="S33" s="466">
        <v>3.9421063691325138</v>
      </c>
      <c r="T33" s="466">
        <v>2.754009982697074E-2</v>
      </c>
      <c r="U33" s="496">
        <v>25.162285960371545</v>
      </c>
      <c r="V33" s="195"/>
      <c r="W33" s="465" t="s">
        <v>38</v>
      </c>
      <c r="X33" s="495">
        <v>13130.832628818718</v>
      </c>
      <c r="Y33" s="495">
        <v>8061.8068625933392</v>
      </c>
      <c r="Z33" s="495">
        <v>3942.1063691325139</v>
      </c>
      <c r="AA33" s="495">
        <v>27.540099826970739</v>
      </c>
      <c r="AB33" s="495">
        <v>25162.285960371544</v>
      </c>
      <c r="AC33" s="6"/>
    </row>
    <row r="34" spans="2:31" x14ac:dyDescent="0.25">
      <c r="B34"/>
      <c r="I34" s="464" t="s">
        <v>34</v>
      </c>
      <c r="J34" s="553">
        <v>310.47267175260009</v>
      </c>
      <c r="K34" s="553">
        <v>0</v>
      </c>
      <c r="L34" s="553">
        <v>10592.808529720287</v>
      </c>
      <c r="M34" s="553">
        <v>0</v>
      </c>
      <c r="N34" s="553">
        <v>10903.281201472888</v>
      </c>
      <c r="O34" s="195"/>
      <c r="P34" s="465" t="s">
        <v>34</v>
      </c>
      <c r="Q34" s="466">
        <v>1.120839970225993</v>
      </c>
      <c r="R34" s="197"/>
      <c r="S34" s="466">
        <v>39.495930386727395</v>
      </c>
      <c r="T34" s="197"/>
      <c r="U34" s="496">
        <v>40.616770356953388</v>
      </c>
      <c r="V34" s="195"/>
      <c r="W34" s="465" t="s">
        <v>34</v>
      </c>
      <c r="X34" s="495">
        <v>1120.8399702259931</v>
      </c>
      <c r="Y34" s="495">
        <v>0</v>
      </c>
      <c r="Z34" s="495">
        <v>39495.930386727392</v>
      </c>
      <c r="AA34" s="495">
        <v>0</v>
      </c>
      <c r="AB34" s="495">
        <v>40616.770356953391</v>
      </c>
      <c r="AC34" s="6"/>
    </row>
    <row r="35" spans="2:31" x14ac:dyDescent="0.25">
      <c r="B35"/>
      <c r="I35" s="467" t="s">
        <v>58</v>
      </c>
      <c r="J35" s="555">
        <v>19260.416698147495</v>
      </c>
      <c r="K35" s="555">
        <v>9632.1761919505934</v>
      </c>
      <c r="L35" s="555">
        <v>25184.693755059125</v>
      </c>
      <c r="M35" s="555">
        <v>127.00957461624171</v>
      </c>
      <c r="N35" s="555">
        <v>54204.29621977346</v>
      </c>
      <c r="O35" s="195"/>
      <c r="P35" s="468" t="s">
        <v>58</v>
      </c>
      <c r="Q35" s="496">
        <v>69.532190246019823</v>
      </c>
      <c r="R35" s="496">
        <v>47.519369471882555</v>
      </c>
      <c r="S35" s="496">
        <v>93.902661279116785</v>
      </c>
      <c r="T35" s="496">
        <v>4.0749714556826717</v>
      </c>
      <c r="U35" s="496">
        <v>215.02919245270186</v>
      </c>
      <c r="V35" s="195"/>
      <c r="W35" s="468" t="s">
        <v>58</v>
      </c>
      <c r="X35" s="495">
        <v>69532.190246019818</v>
      </c>
      <c r="Y35" s="495">
        <v>47519.369471882557</v>
      </c>
      <c r="Z35" s="495">
        <v>93902.661279116786</v>
      </c>
      <c r="AA35" s="495">
        <v>4074.9714556826716</v>
      </c>
      <c r="AB35" s="495">
        <v>215029.19245270186</v>
      </c>
      <c r="AC35" s="6"/>
    </row>
    <row r="36" spans="2:31" x14ac:dyDescent="0.25">
      <c r="B36"/>
      <c r="I36" s="195"/>
      <c r="J36" s="195"/>
      <c r="K36" s="195"/>
      <c r="L36" s="195"/>
      <c r="M36" s="195"/>
      <c r="N36" s="195"/>
      <c r="O36" s="195"/>
      <c r="P36" s="195"/>
      <c r="Q36" s="195"/>
      <c r="R36" s="195"/>
      <c r="S36" s="195"/>
      <c r="T36" s="195"/>
      <c r="U36" s="195"/>
      <c r="V36" s="195"/>
      <c r="W36" s="556"/>
      <c r="X36" s="195"/>
      <c r="Y36" s="195"/>
      <c r="Z36" s="195"/>
      <c r="AA36" s="195"/>
      <c r="AB36" s="195"/>
      <c r="AC36" s="6"/>
    </row>
    <row r="37" spans="2:31" x14ac:dyDescent="0.25">
      <c r="B37"/>
      <c r="I37" s="540"/>
      <c r="J37" s="963" t="s">
        <v>56</v>
      </c>
      <c r="K37" s="963"/>
      <c r="L37" s="963"/>
      <c r="M37" s="963"/>
      <c r="N37" s="963"/>
      <c r="O37" s="195"/>
      <c r="P37" s="197"/>
      <c r="Q37" s="960" t="s">
        <v>456</v>
      </c>
      <c r="R37" s="960"/>
      <c r="S37" s="960"/>
      <c r="T37" s="960"/>
      <c r="U37" s="960"/>
      <c r="V37" s="195"/>
      <c r="W37" s="194"/>
      <c r="X37" s="960" t="s">
        <v>64</v>
      </c>
      <c r="Y37" s="960"/>
      <c r="Z37" s="960"/>
      <c r="AA37" s="960"/>
      <c r="AB37" s="960"/>
      <c r="AC37" s="6"/>
    </row>
    <row r="38" spans="2:31" x14ac:dyDescent="0.25">
      <c r="B38"/>
      <c r="I38" s="540">
        <v>2014</v>
      </c>
      <c r="J38" s="196" t="s">
        <v>50</v>
      </c>
      <c r="K38" s="196" t="s">
        <v>51</v>
      </c>
      <c r="L38" s="196" t="s">
        <v>52</v>
      </c>
      <c r="M38" s="196" t="s">
        <v>57</v>
      </c>
      <c r="N38" s="196" t="s">
        <v>53</v>
      </c>
      <c r="O38" s="195"/>
      <c r="P38" s="197">
        <v>2014</v>
      </c>
      <c r="Q38" s="198" t="s">
        <v>50</v>
      </c>
      <c r="R38" s="198" t="s">
        <v>51</v>
      </c>
      <c r="S38" s="198" t="s">
        <v>52</v>
      </c>
      <c r="T38" s="198" t="s">
        <v>57</v>
      </c>
      <c r="U38" s="198" t="s">
        <v>53</v>
      </c>
      <c r="V38" s="195"/>
      <c r="W38" s="197">
        <v>2014</v>
      </c>
      <c r="X38" s="198" t="s">
        <v>50</v>
      </c>
      <c r="Y38" s="198" t="s">
        <v>51</v>
      </c>
      <c r="Z38" s="198" t="s">
        <v>52</v>
      </c>
      <c r="AA38" s="198" t="s">
        <v>57</v>
      </c>
      <c r="AB38" s="198" t="s">
        <v>53</v>
      </c>
      <c r="AC38" s="6"/>
    </row>
    <row r="39" spans="2:31" x14ac:dyDescent="0.25">
      <c r="B39"/>
      <c r="I39" s="464" t="s">
        <v>36</v>
      </c>
      <c r="J39" s="557">
        <v>65.636251746101664</v>
      </c>
      <c r="K39" s="557">
        <v>0</v>
      </c>
      <c r="L39" s="557">
        <v>867.24140336066625</v>
      </c>
      <c r="M39" s="557">
        <v>0</v>
      </c>
      <c r="N39" s="558">
        <v>932.87765510676786</v>
      </c>
      <c r="O39" s="559">
        <f>+N30-N39</f>
        <v>-49.879996048086014</v>
      </c>
      <c r="P39" s="465" t="s">
        <v>36</v>
      </c>
      <c r="Q39" s="495">
        <v>0.23695397742274965</v>
      </c>
      <c r="R39" s="197"/>
      <c r="S39" s="495">
        <v>3.2335622794954002</v>
      </c>
      <c r="T39" s="197"/>
      <c r="U39" s="495">
        <v>3.4705162569181498</v>
      </c>
      <c r="V39" s="195"/>
      <c r="W39" s="465" t="s">
        <v>36</v>
      </c>
      <c r="X39" s="554">
        <v>236.95397742274966</v>
      </c>
      <c r="Y39" s="554">
        <v>0</v>
      </c>
      <c r="Z39" s="554">
        <v>3233.5622794954002</v>
      </c>
      <c r="AA39" s="554">
        <v>0</v>
      </c>
      <c r="AB39" s="554">
        <v>3470.5162569181498</v>
      </c>
      <c r="AC39" s="64">
        <f>+AB30-AB39</f>
        <v>-184.68106679506491</v>
      </c>
    </row>
    <row r="40" spans="2:31" x14ac:dyDescent="0.25">
      <c r="I40" s="464" t="s">
        <v>69</v>
      </c>
      <c r="J40" s="557">
        <v>8669.9768395191459</v>
      </c>
      <c r="K40" s="557">
        <v>3497.7573911697668</v>
      </c>
      <c r="L40" s="557">
        <v>178.54978420911488</v>
      </c>
      <c r="M40" s="557">
        <v>0</v>
      </c>
      <c r="N40" s="558">
        <v>12346.284014898029</v>
      </c>
      <c r="O40" s="559">
        <f t="shared" ref="O40:O44" si="4">+N31-N40</f>
        <v>3073.8093019976477</v>
      </c>
      <c r="P40" s="465" t="s">
        <v>69</v>
      </c>
      <c r="Q40" s="466">
        <v>31.299555377325436</v>
      </c>
      <c r="R40" s="466">
        <v>17.255833207546953</v>
      </c>
      <c r="S40" s="466">
        <v>0.66573372188335156</v>
      </c>
      <c r="T40" s="466">
        <v>0</v>
      </c>
      <c r="U40" s="495">
        <v>49.221122306755738</v>
      </c>
      <c r="V40" s="195"/>
      <c r="W40" s="465" t="s">
        <v>69</v>
      </c>
      <c r="X40" s="554">
        <v>31299.555377325436</v>
      </c>
      <c r="Y40" s="554">
        <v>17255.833207546952</v>
      </c>
      <c r="Z40" s="554">
        <v>665.73372188335156</v>
      </c>
      <c r="AA40" s="554">
        <v>0</v>
      </c>
      <c r="AB40" s="554">
        <v>49221.122306755737</v>
      </c>
      <c r="AC40" s="64">
        <f t="shared" ref="AC40:AC44" si="5">+AB31-AB40</f>
        <v>12586.160973904669</v>
      </c>
    </row>
    <row r="41" spans="2:31" x14ac:dyDescent="0.25">
      <c r="I41" s="464" t="s">
        <v>31</v>
      </c>
      <c r="J41" s="557">
        <v>4750.500192648793</v>
      </c>
      <c r="K41" s="557">
        <v>2801.8781788129263</v>
      </c>
      <c r="L41" s="557">
        <v>8923.5552107753174</v>
      </c>
      <c r="M41" s="557">
        <v>172.69705438593684</v>
      </c>
      <c r="N41" s="558">
        <v>16648.630636622973</v>
      </c>
      <c r="O41" s="559">
        <f t="shared" si="4"/>
        <v>4020.3266151134812</v>
      </c>
      <c r="P41" s="465" t="s">
        <v>31</v>
      </c>
      <c r="Q41" s="466">
        <v>17.149820190067842</v>
      </c>
      <c r="R41" s="466">
        <v>13.822783319254693</v>
      </c>
      <c r="S41" s="466">
        <v>33.272017937268153</v>
      </c>
      <c r="T41" s="466">
        <v>5.5174777759085245</v>
      </c>
      <c r="U41" s="495">
        <v>69.762099222499216</v>
      </c>
      <c r="V41" s="559"/>
      <c r="W41" s="465" t="s">
        <v>31</v>
      </c>
      <c r="X41" s="554">
        <v>17149.820190067843</v>
      </c>
      <c r="Y41" s="554">
        <v>13822.783319254693</v>
      </c>
      <c r="Z41" s="554">
        <v>33272.017937268152</v>
      </c>
      <c r="AA41" s="554">
        <v>5517.4777759085246</v>
      </c>
      <c r="AB41" s="554">
        <v>69762.099222499222</v>
      </c>
      <c r="AC41" s="64">
        <f t="shared" si="5"/>
        <v>14394.918442094218</v>
      </c>
    </row>
    <row r="42" spans="2:31" x14ac:dyDescent="0.25">
      <c r="I42" s="464" t="s">
        <v>38</v>
      </c>
      <c r="J42" s="557">
        <v>3113.2161778718441</v>
      </c>
      <c r="K42" s="557">
        <v>1386.9679249474896</v>
      </c>
      <c r="L42" s="557">
        <v>550.75684082965893</v>
      </c>
      <c r="M42" s="557">
        <v>0.23670033563844511</v>
      </c>
      <c r="N42" s="558">
        <v>5051.1776439846317</v>
      </c>
      <c r="O42" s="559">
        <f t="shared" si="4"/>
        <v>1277.7891466251212</v>
      </c>
      <c r="P42" s="465" t="s">
        <v>38</v>
      </c>
      <c r="Q42" s="466">
        <v>11.239047573544564</v>
      </c>
      <c r="R42" s="466">
        <v>6.842466329292006</v>
      </c>
      <c r="S42" s="466">
        <v>2.0535303535781466</v>
      </c>
      <c r="T42" s="466">
        <v>2.0059350477834331E-2</v>
      </c>
      <c r="U42" s="495">
        <v>20.155103606892549</v>
      </c>
      <c r="V42" s="195"/>
      <c r="W42" s="465" t="s">
        <v>38</v>
      </c>
      <c r="X42" s="554">
        <v>11239.047573544563</v>
      </c>
      <c r="Y42" s="554">
        <v>6842.4663292920059</v>
      </c>
      <c r="Z42" s="554">
        <v>2053.5303535781468</v>
      </c>
      <c r="AA42" s="554">
        <v>20.059350477834332</v>
      </c>
      <c r="AB42" s="554">
        <v>20155.10360689255</v>
      </c>
      <c r="AC42" s="64">
        <f t="shared" si="5"/>
        <v>5007.1823534789946</v>
      </c>
    </row>
    <row r="43" spans="2:31" x14ac:dyDescent="0.25">
      <c r="I43" s="464" t="s">
        <v>34</v>
      </c>
      <c r="J43" s="557">
        <v>352.76414244273849</v>
      </c>
      <c r="K43" s="557">
        <v>0</v>
      </c>
      <c r="L43" s="557">
        <v>10280.225973916793</v>
      </c>
      <c r="M43" s="557">
        <v>0</v>
      </c>
      <c r="N43" s="558">
        <v>10632.990116359531</v>
      </c>
      <c r="O43" s="559">
        <f t="shared" si="4"/>
        <v>270.29108511335653</v>
      </c>
      <c r="P43" s="465" t="s">
        <v>34</v>
      </c>
      <c r="Q43" s="466">
        <v>1.2735167597210775</v>
      </c>
      <c r="R43" s="197"/>
      <c r="S43" s="466">
        <v>38.330447330040244</v>
      </c>
      <c r="T43" s="197"/>
      <c r="U43" s="495">
        <v>39.60396408976132</v>
      </c>
      <c r="V43" s="195"/>
      <c r="W43" s="465" t="s">
        <v>34</v>
      </c>
      <c r="X43" s="554">
        <v>1273.5167597210775</v>
      </c>
      <c r="Y43" s="554">
        <v>0</v>
      </c>
      <c r="Z43" s="554">
        <v>38330.447330040246</v>
      </c>
      <c r="AA43" s="554">
        <v>0</v>
      </c>
      <c r="AB43" s="554">
        <v>39603.964089761321</v>
      </c>
      <c r="AC43" s="64">
        <f t="shared" si="5"/>
        <v>1012.8062671920707</v>
      </c>
    </row>
    <row r="44" spans="2:31" x14ac:dyDescent="0.25">
      <c r="I44" s="467" t="s">
        <v>58</v>
      </c>
      <c r="J44" s="560">
        <v>16952.093604228623</v>
      </c>
      <c r="K44" s="560">
        <v>7686.603494930182</v>
      </c>
      <c r="L44" s="560">
        <v>20800.329213091551</v>
      </c>
      <c r="M44" s="560">
        <v>172.93375472157527</v>
      </c>
      <c r="N44" s="560">
        <v>45611.960066971937</v>
      </c>
      <c r="O44" s="559">
        <f t="shared" si="4"/>
        <v>8592.336152801523</v>
      </c>
      <c r="P44" s="468" t="s">
        <v>58</v>
      </c>
      <c r="Q44" s="469">
        <v>61.198893878081677</v>
      </c>
      <c r="R44" s="469">
        <v>37.921082856093655</v>
      </c>
      <c r="S44" s="469">
        <v>77.555291622265287</v>
      </c>
      <c r="T44" s="469">
        <v>5.5375371263863586</v>
      </c>
      <c r="U44" s="469">
        <v>182.21280548282698</v>
      </c>
      <c r="V44" s="195"/>
      <c r="W44" s="468" t="s">
        <v>58</v>
      </c>
      <c r="X44" s="554">
        <v>61198.893878081675</v>
      </c>
      <c r="Y44" s="554">
        <v>37921.082856093657</v>
      </c>
      <c r="Z44" s="554">
        <v>77555.291622265286</v>
      </c>
      <c r="AA44" s="554">
        <v>5537.537126386359</v>
      </c>
      <c r="AB44" s="554">
        <v>182212.80548282698</v>
      </c>
      <c r="AC44" s="64">
        <f t="shared" si="5"/>
        <v>32816.386969874875</v>
      </c>
    </row>
    <row r="45" spans="2:31" x14ac:dyDescent="0.25">
      <c r="V45" s="195"/>
      <c r="W45" t="s">
        <v>58</v>
      </c>
      <c r="X45">
        <v>28401.358975644798</v>
      </c>
      <c r="Y45">
        <v>0</v>
      </c>
      <c r="Z45">
        <v>79802.906747529356</v>
      </c>
      <c r="AA45">
        <v>13329.129548896675</v>
      </c>
      <c r="AB45">
        <v>121533.39527207083</v>
      </c>
      <c r="AC45" s="195"/>
    </row>
    <row r="46" spans="2:31" x14ac:dyDescent="0.25">
      <c r="I46" s="6"/>
      <c r="J46" s="6"/>
      <c r="K46" s="6"/>
      <c r="L46" s="6"/>
      <c r="M46" s="6"/>
      <c r="N46" s="6"/>
      <c r="O46" s="6"/>
      <c r="P46" s="6"/>
      <c r="Q46" s="6"/>
      <c r="R46" s="6"/>
      <c r="S46" s="6"/>
      <c r="T46" s="6"/>
      <c r="U46" s="6"/>
      <c r="V46" s="6"/>
      <c r="W46" s="6"/>
      <c r="X46" s="6"/>
      <c r="Y46" s="6"/>
      <c r="Z46" s="6"/>
      <c r="AA46" s="6"/>
      <c r="AB46" s="6"/>
      <c r="AC46" s="6"/>
      <c r="AD46" s="6"/>
      <c r="AE46" s="6"/>
    </row>
    <row r="47" spans="2:31" x14ac:dyDescent="0.25">
      <c r="I47" s="6"/>
      <c r="J47" s="6"/>
      <c r="K47" s="6"/>
      <c r="L47" s="6"/>
      <c r="M47" s="6"/>
      <c r="N47" s="6"/>
      <c r="O47" s="6"/>
      <c r="P47" s="6"/>
      <c r="Q47" s="6"/>
      <c r="R47" s="6"/>
      <c r="S47" s="6"/>
      <c r="T47" s="6"/>
      <c r="U47" s="6"/>
      <c r="V47" s="6"/>
      <c r="W47" s="6"/>
      <c r="X47" s="6"/>
      <c r="Y47" s="6"/>
      <c r="Z47" s="6"/>
      <c r="AA47" s="6"/>
      <c r="AB47" s="6"/>
      <c r="AC47" s="6"/>
      <c r="AD47" s="6"/>
      <c r="AE47" s="6"/>
    </row>
    <row r="48" spans="2:31" x14ac:dyDescent="0.25">
      <c r="P48" s="6"/>
      <c r="Q48" s="6"/>
      <c r="R48" s="6"/>
      <c r="S48" s="6"/>
      <c r="T48" s="6"/>
      <c r="U48" s="6"/>
      <c r="V48" s="6"/>
      <c r="W48" s="6"/>
      <c r="X48" s="6"/>
      <c r="Y48" s="6"/>
      <c r="Z48" s="6"/>
      <c r="AA48" s="6"/>
      <c r="AB48" s="6"/>
      <c r="AC48" s="6"/>
      <c r="AD48" s="6"/>
      <c r="AE48" s="6"/>
    </row>
    <row r="49" spans="16:31" x14ac:dyDescent="0.25">
      <c r="P49" s="6"/>
      <c r="Q49" s="6"/>
      <c r="R49" s="6"/>
      <c r="S49" s="6"/>
      <c r="T49" s="6"/>
      <c r="U49" s="6"/>
      <c r="V49" s="6"/>
      <c r="W49" s="6"/>
      <c r="X49" s="6"/>
      <c r="Y49" s="6"/>
      <c r="Z49" s="6"/>
      <c r="AA49" s="6"/>
      <c r="AB49" s="6"/>
      <c r="AC49" s="6"/>
      <c r="AD49" s="6"/>
      <c r="AE49" s="6"/>
    </row>
    <row r="50" spans="16:31" x14ac:dyDescent="0.25">
      <c r="V50" s="6"/>
      <c r="W50" s="6"/>
      <c r="X50" s="6"/>
      <c r="Y50" s="6"/>
      <c r="Z50" s="6"/>
      <c r="AA50" s="6"/>
      <c r="AB50" s="6"/>
      <c r="AC50" s="6"/>
      <c r="AD50" s="6"/>
      <c r="AE50" s="6"/>
    </row>
    <row r="51" spans="16:31" x14ac:dyDescent="0.25">
      <c r="V51" s="6"/>
      <c r="W51" s="6"/>
      <c r="X51" s="6"/>
      <c r="Y51" s="6"/>
      <c r="Z51" s="6"/>
      <c r="AA51" s="6"/>
      <c r="AB51" s="6"/>
      <c r="AC51" s="6"/>
      <c r="AD51" s="6"/>
      <c r="AE51" s="6"/>
    </row>
    <row r="52" spans="16:31" x14ac:dyDescent="0.25">
      <c r="V52" s="6"/>
      <c r="W52" s="6"/>
      <c r="X52" s="6"/>
      <c r="Y52" s="6"/>
      <c r="Z52" s="6"/>
      <c r="AA52" s="6"/>
      <c r="AB52" s="6"/>
      <c r="AC52" s="6"/>
      <c r="AD52" s="6"/>
      <c r="AE52" s="6"/>
    </row>
    <row r="53" spans="16:31" x14ac:dyDescent="0.25">
      <c r="Y53" s="6"/>
      <c r="Z53" s="6"/>
      <c r="AA53" s="6"/>
      <c r="AB53" s="6"/>
      <c r="AC53" s="6"/>
      <c r="AD53" s="6"/>
      <c r="AE53" s="6"/>
    </row>
    <row r="54" spans="16:31" x14ac:dyDescent="0.25">
      <c r="Y54" s="6"/>
      <c r="Z54" s="6"/>
      <c r="AA54" s="6"/>
      <c r="AB54" s="6"/>
      <c r="AC54" s="6"/>
      <c r="AD54" s="6"/>
      <c r="AE54" s="6"/>
    </row>
    <row r="55" spans="16:31" x14ac:dyDescent="0.25">
      <c r="Y55" s="6"/>
      <c r="Z55" s="6"/>
      <c r="AA55" s="6"/>
      <c r="AB55" s="6"/>
      <c r="AC55" s="6"/>
      <c r="AD55" s="6"/>
      <c r="AE55" s="6"/>
    </row>
    <row r="56" spans="16:31" x14ac:dyDescent="0.25">
      <c r="Y56" s="6"/>
      <c r="Z56" s="6"/>
      <c r="AA56" s="6"/>
      <c r="AB56" s="6"/>
      <c r="AC56" s="6"/>
      <c r="AD56" s="6"/>
      <c r="AE56" s="6"/>
    </row>
    <row r="57" spans="16:31" x14ac:dyDescent="0.25">
      <c r="Y57" s="6"/>
      <c r="Z57" s="6"/>
      <c r="AA57" s="6"/>
      <c r="AB57" s="6"/>
      <c r="AC57" s="6"/>
      <c r="AD57" s="6"/>
      <c r="AE57" s="6"/>
    </row>
    <row r="58" spans="16:31" x14ac:dyDescent="0.25">
      <c r="Y58" s="6"/>
      <c r="Z58" s="6"/>
      <c r="AA58" s="6"/>
      <c r="AB58" s="6"/>
      <c r="AC58" s="6"/>
      <c r="AD58" s="6"/>
      <c r="AE58" s="6"/>
    </row>
    <row r="59" spans="16:31" x14ac:dyDescent="0.25">
      <c r="Y59" s="6"/>
      <c r="Z59" s="6"/>
      <c r="AA59" s="6"/>
      <c r="AB59" s="6"/>
      <c r="AC59" s="6"/>
      <c r="AD59" s="6"/>
      <c r="AE59" s="6"/>
    </row>
    <row r="60" spans="16:31" x14ac:dyDescent="0.25">
      <c r="Y60" s="6"/>
      <c r="Z60" s="6"/>
      <c r="AA60" s="6"/>
      <c r="AB60" s="6"/>
      <c r="AC60" s="6"/>
      <c r="AD60" s="6"/>
      <c r="AE60" s="6"/>
    </row>
    <row r="61" spans="16:31" x14ac:dyDescent="0.25">
      <c r="Y61" s="6"/>
      <c r="Z61" s="6"/>
      <c r="AA61" s="6"/>
      <c r="AB61" s="6"/>
      <c r="AC61" s="6"/>
      <c r="AD61" s="6"/>
      <c r="AE61" s="6"/>
    </row>
    <row r="62" spans="16:31" x14ac:dyDescent="0.25">
      <c r="U62" s="6"/>
      <c r="Y62" s="6"/>
      <c r="Z62" s="6"/>
      <c r="AA62" s="6"/>
      <c r="AB62" s="6"/>
      <c r="AC62" s="6"/>
      <c r="AD62" s="6"/>
      <c r="AE62" s="6"/>
    </row>
    <row r="63" spans="16:31" x14ac:dyDescent="0.25">
      <c r="U63" s="6"/>
      <c r="Y63" s="6"/>
      <c r="Z63" s="6"/>
      <c r="AA63" s="6"/>
      <c r="AB63" s="6"/>
      <c r="AC63" s="6"/>
      <c r="AD63" s="6"/>
      <c r="AE63" s="6"/>
    </row>
    <row r="64" spans="16:31" x14ac:dyDescent="0.25">
      <c r="U64" s="6"/>
      <c r="Y64" s="6"/>
      <c r="Z64" s="6"/>
      <c r="AA64" s="6"/>
      <c r="AB64" s="6"/>
      <c r="AC64" s="6"/>
      <c r="AD64" s="6"/>
      <c r="AE64" s="6"/>
    </row>
    <row r="65" spans="9:31" x14ac:dyDescent="0.25">
      <c r="I65" s="6"/>
      <c r="J65" s="6"/>
      <c r="K65" s="6"/>
      <c r="L65" s="6"/>
      <c r="M65" s="6"/>
      <c r="N65" s="6"/>
      <c r="O65" s="6"/>
      <c r="P65" s="6"/>
      <c r="Q65" s="6"/>
      <c r="R65" s="6"/>
      <c r="S65" s="6"/>
      <c r="T65" s="6"/>
      <c r="U65" s="6"/>
      <c r="V65" s="6"/>
      <c r="W65" s="6"/>
      <c r="X65" s="6"/>
      <c r="Y65" s="6"/>
      <c r="Z65" s="6"/>
      <c r="AA65" s="6"/>
      <c r="AB65" s="6"/>
      <c r="AC65" s="6"/>
      <c r="AD65" s="6"/>
      <c r="AE65" s="6"/>
    </row>
    <row r="66" spans="9:31" x14ac:dyDescent="0.25">
      <c r="I66" s="6"/>
      <c r="J66" s="6"/>
      <c r="K66" s="6"/>
      <c r="L66" s="6"/>
      <c r="M66" s="6"/>
      <c r="N66" s="6"/>
      <c r="O66" s="6"/>
      <c r="P66" s="6"/>
      <c r="Q66" s="6"/>
      <c r="R66" s="6"/>
      <c r="S66" s="6"/>
      <c r="T66" s="6"/>
      <c r="U66" s="6"/>
      <c r="V66" s="6"/>
      <c r="W66" s="6"/>
      <c r="X66" s="6"/>
      <c r="Y66" s="6"/>
      <c r="Z66" s="6"/>
      <c r="AA66" s="6"/>
      <c r="AB66" s="6"/>
      <c r="AC66" s="6"/>
      <c r="AD66" s="6"/>
      <c r="AE66" s="6"/>
    </row>
    <row r="67" spans="9:31" x14ac:dyDescent="0.25">
      <c r="I67" s="6"/>
      <c r="J67" s="6"/>
      <c r="K67" s="6"/>
      <c r="L67" s="6"/>
      <c r="M67" s="6"/>
      <c r="N67" s="6"/>
      <c r="O67" s="6"/>
      <c r="P67" s="6"/>
      <c r="Q67" s="6"/>
      <c r="R67" s="6"/>
      <c r="S67" s="6"/>
      <c r="T67" s="6"/>
      <c r="U67" s="6"/>
      <c r="V67" s="6"/>
      <c r="W67" s="6"/>
      <c r="X67" s="6"/>
      <c r="Y67" s="6"/>
      <c r="Z67" s="6"/>
      <c r="AA67" s="6"/>
      <c r="AB67" s="6"/>
      <c r="AC67" s="6"/>
      <c r="AD67" s="6"/>
      <c r="AE67" s="6"/>
    </row>
    <row r="68" spans="9:31" x14ac:dyDescent="0.25">
      <c r="I68" s="6"/>
      <c r="J68" s="6"/>
      <c r="S68" s="6"/>
      <c r="T68" s="6"/>
      <c r="U68" s="6"/>
      <c r="V68" s="6"/>
      <c r="W68" s="6"/>
      <c r="X68" s="6"/>
      <c r="Y68" s="6"/>
      <c r="Z68" s="6"/>
      <c r="AA68" s="6"/>
      <c r="AB68" s="6"/>
      <c r="AC68" s="6"/>
      <c r="AD68" s="6"/>
      <c r="AE68" s="6"/>
    </row>
    <row r="69" spans="9:31" x14ac:dyDescent="0.25">
      <c r="I69" s="6"/>
      <c r="J69" s="6"/>
      <c r="S69" s="6"/>
      <c r="T69" s="6"/>
      <c r="U69" s="6"/>
      <c r="V69" s="6"/>
      <c r="W69" s="6"/>
      <c r="X69" s="6"/>
      <c r="Y69" s="6"/>
      <c r="Z69" s="6"/>
      <c r="AA69" s="6"/>
      <c r="AB69" s="6"/>
      <c r="AC69" s="6"/>
      <c r="AD69" s="6"/>
      <c r="AE69" s="6"/>
    </row>
    <row r="70" spans="9:31" x14ac:dyDescent="0.25">
      <c r="I70" s="6"/>
      <c r="J70" s="6"/>
      <c r="S70" s="6"/>
      <c r="T70" s="6"/>
      <c r="U70" s="6"/>
      <c r="V70" s="6"/>
      <c r="W70" s="6"/>
      <c r="X70" s="6"/>
      <c r="Y70" s="6"/>
      <c r="Z70" s="6"/>
      <c r="AA70" s="6"/>
      <c r="AB70" s="6"/>
      <c r="AC70" s="6"/>
      <c r="AD70" s="6"/>
      <c r="AE70" s="6"/>
    </row>
    <row r="71" spans="9:31" x14ac:dyDescent="0.25">
      <c r="I71" s="6"/>
      <c r="J71" s="6"/>
      <c r="S71" s="6"/>
      <c r="T71" s="6"/>
      <c r="U71" s="6"/>
      <c r="V71" s="6"/>
      <c r="W71" s="6"/>
      <c r="X71" s="6"/>
      <c r="Y71" s="6"/>
      <c r="Z71" s="6"/>
      <c r="AA71" s="6"/>
      <c r="AB71" s="6"/>
      <c r="AC71" s="6"/>
      <c r="AD71" s="6"/>
      <c r="AE71" s="6"/>
    </row>
    <row r="72" spans="9:31" x14ac:dyDescent="0.25">
      <c r="I72" s="6"/>
      <c r="J72" s="6"/>
      <c r="S72" s="6"/>
      <c r="T72" s="6"/>
      <c r="U72" s="6"/>
      <c r="V72" s="6"/>
      <c r="W72" s="6"/>
      <c r="X72" s="6"/>
      <c r="Y72" s="6"/>
      <c r="Z72" s="6"/>
      <c r="AA72" s="6"/>
      <c r="AB72" s="6"/>
      <c r="AC72" s="6"/>
      <c r="AD72" s="6"/>
      <c r="AE72" s="6"/>
    </row>
    <row r="73" spans="9:31" x14ac:dyDescent="0.25">
      <c r="I73" s="6"/>
      <c r="J73" s="6"/>
      <c r="S73" s="6"/>
      <c r="T73" s="6"/>
      <c r="U73" s="6"/>
      <c r="V73" s="6"/>
      <c r="W73" s="6"/>
      <c r="X73" s="6"/>
      <c r="Y73" s="6"/>
      <c r="Z73" s="6"/>
      <c r="AA73" s="6"/>
      <c r="AB73" s="6"/>
      <c r="AC73" s="6"/>
      <c r="AD73" s="6"/>
      <c r="AE73" s="6"/>
    </row>
    <row r="74" spans="9:31" x14ac:dyDescent="0.25">
      <c r="I74" s="6"/>
      <c r="J74" s="6"/>
      <c r="S74" s="6"/>
      <c r="T74" s="6"/>
      <c r="U74" s="6"/>
      <c r="V74" s="6"/>
      <c r="W74" s="6"/>
      <c r="X74" s="6"/>
      <c r="Y74" s="6"/>
      <c r="Z74" s="6"/>
      <c r="AA74" s="6"/>
      <c r="AB74" s="6"/>
      <c r="AC74" s="6"/>
      <c r="AD74" s="6"/>
      <c r="AE74" s="6"/>
    </row>
    <row r="75" spans="9:31" x14ac:dyDescent="0.25">
      <c r="I75" s="6"/>
      <c r="J75" s="6"/>
      <c r="S75" s="6"/>
      <c r="T75" s="6"/>
      <c r="U75" s="6"/>
      <c r="V75" s="6"/>
      <c r="W75" s="6"/>
      <c r="X75" s="6"/>
      <c r="Y75" s="6"/>
      <c r="Z75" s="6"/>
      <c r="AA75" s="6"/>
      <c r="AB75" s="6"/>
      <c r="AC75" s="6"/>
      <c r="AD75" s="6"/>
      <c r="AE75" s="6"/>
    </row>
    <row r="76" spans="9:31" x14ac:dyDescent="0.25">
      <c r="I76" s="6"/>
      <c r="J76" s="6"/>
      <c r="S76" s="6"/>
      <c r="T76" s="6"/>
      <c r="U76" s="6"/>
      <c r="V76" s="6"/>
      <c r="W76" s="6"/>
      <c r="X76" s="6"/>
      <c r="Y76" s="6"/>
      <c r="Z76" s="6"/>
      <c r="AA76" s="6"/>
      <c r="AB76" s="6"/>
      <c r="AC76" s="6"/>
      <c r="AD76" s="6"/>
      <c r="AE76" s="6"/>
    </row>
    <row r="77" spans="9:31" x14ac:dyDescent="0.25">
      <c r="I77" s="6"/>
      <c r="J77" s="6"/>
      <c r="S77" s="6"/>
      <c r="T77" s="6"/>
      <c r="U77" s="6"/>
      <c r="V77" s="6"/>
      <c r="W77" s="6"/>
      <c r="X77" s="6"/>
      <c r="Y77" s="6"/>
      <c r="Z77" s="6"/>
      <c r="AA77" s="6"/>
      <c r="AB77" s="6"/>
      <c r="AC77" s="6"/>
      <c r="AD77" s="6"/>
      <c r="AE77" s="6"/>
    </row>
    <row r="78" spans="9:31" x14ac:dyDescent="0.25">
      <c r="I78" s="6"/>
      <c r="J78" s="6"/>
      <c r="S78" s="6"/>
      <c r="T78" s="6"/>
      <c r="U78" s="6"/>
      <c r="V78" s="6"/>
      <c r="W78" s="6"/>
      <c r="X78" s="6"/>
      <c r="Y78" s="6"/>
      <c r="Z78" s="6"/>
      <c r="AA78" s="6"/>
      <c r="AB78" s="6"/>
      <c r="AC78" s="6"/>
      <c r="AD78" s="6"/>
      <c r="AE78" s="6"/>
    </row>
    <row r="79" spans="9:31" x14ac:dyDescent="0.25">
      <c r="I79" s="6"/>
      <c r="J79" s="6"/>
      <c r="K79" s="6"/>
      <c r="L79" s="6"/>
      <c r="M79" s="6"/>
      <c r="N79" s="6"/>
      <c r="O79" s="6"/>
      <c r="P79" s="6"/>
      <c r="Q79" s="6"/>
      <c r="R79" s="6"/>
      <c r="S79" s="6"/>
      <c r="T79" s="6"/>
      <c r="U79" s="6"/>
      <c r="V79" s="6"/>
      <c r="W79" s="6"/>
      <c r="X79" s="6"/>
      <c r="Y79" s="6"/>
      <c r="Z79" s="6"/>
      <c r="AA79" s="6"/>
      <c r="AB79" s="6"/>
      <c r="AC79" s="6"/>
      <c r="AD79" s="6"/>
      <c r="AE79" s="6"/>
    </row>
    <row r="80" spans="9:31" x14ac:dyDescent="0.25">
      <c r="I80" s="6"/>
      <c r="J80" s="6"/>
      <c r="K80" s="6"/>
      <c r="L80" s="6"/>
      <c r="M80" s="6"/>
      <c r="N80" s="6"/>
      <c r="O80" s="6"/>
      <c r="P80" s="6"/>
      <c r="Q80" s="6"/>
      <c r="R80" s="6"/>
      <c r="S80" s="6"/>
      <c r="T80" s="6"/>
      <c r="U80" s="6"/>
      <c r="V80" s="6"/>
      <c r="W80" s="6"/>
      <c r="X80" s="6"/>
      <c r="Y80" s="6"/>
      <c r="Z80" s="6"/>
      <c r="AA80" s="6"/>
      <c r="AB80" s="6"/>
      <c r="AC80" s="6"/>
      <c r="AD80" s="6"/>
      <c r="AE80" s="6"/>
    </row>
    <row r="81" spans="9:31" x14ac:dyDescent="0.25">
      <c r="I81" s="6"/>
      <c r="J81" s="6"/>
      <c r="K81" s="6"/>
      <c r="L81" s="6"/>
      <c r="M81" s="6"/>
      <c r="N81" s="6"/>
      <c r="O81" s="6"/>
      <c r="P81" s="6"/>
      <c r="Q81" s="6"/>
      <c r="R81" s="6"/>
      <c r="S81" s="6"/>
      <c r="T81" s="6"/>
      <c r="U81" s="6"/>
      <c r="V81" s="6"/>
      <c r="W81" s="6"/>
      <c r="X81" s="6"/>
      <c r="Y81" s="6"/>
      <c r="Z81" s="6"/>
      <c r="AA81" s="6"/>
      <c r="AB81" s="6"/>
      <c r="AC81" s="6"/>
      <c r="AD81" s="6"/>
      <c r="AE81" s="6"/>
    </row>
    <row r="82" spans="9:31" x14ac:dyDescent="0.25">
      <c r="I82" s="6"/>
      <c r="J82" s="6"/>
      <c r="K82" s="6"/>
      <c r="L82" s="6"/>
      <c r="M82" s="6"/>
      <c r="N82" s="6"/>
      <c r="O82" s="6"/>
      <c r="P82" s="6"/>
      <c r="Q82" s="6"/>
      <c r="R82" s="6"/>
      <c r="S82" s="6"/>
      <c r="T82" s="6"/>
      <c r="U82" s="6"/>
      <c r="V82" s="6"/>
      <c r="W82" s="6"/>
      <c r="X82" s="6"/>
      <c r="Y82" s="6"/>
      <c r="Z82" s="6"/>
      <c r="AA82" s="6"/>
      <c r="AB82" s="6"/>
      <c r="AC82" s="6"/>
      <c r="AD82" s="6"/>
      <c r="AE82" s="6"/>
    </row>
    <row r="83" spans="9:31" x14ac:dyDescent="0.25">
      <c r="I83" s="6"/>
      <c r="J83" s="6"/>
      <c r="K83" s="6"/>
      <c r="L83" s="6"/>
      <c r="M83" s="6"/>
      <c r="N83" s="6"/>
      <c r="O83" s="6"/>
      <c r="P83" s="6"/>
      <c r="Q83" s="6"/>
      <c r="R83" s="6"/>
      <c r="S83" s="6"/>
      <c r="T83" s="6"/>
      <c r="U83" s="6"/>
      <c r="V83" s="6"/>
      <c r="W83" s="6"/>
      <c r="X83" s="6"/>
      <c r="Y83" s="6"/>
      <c r="Z83" s="6"/>
      <c r="AA83" s="6"/>
      <c r="AB83" s="6"/>
      <c r="AC83" s="6"/>
      <c r="AD83" s="6"/>
      <c r="AE83" s="6"/>
    </row>
    <row r="84" spans="9:31" x14ac:dyDescent="0.25">
      <c r="I84" s="6"/>
      <c r="J84" s="6"/>
      <c r="K84" s="6"/>
      <c r="L84" s="6"/>
      <c r="M84" s="6"/>
      <c r="N84" s="6"/>
      <c r="O84" s="6"/>
      <c r="P84" s="6"/>
      <c r="Q84" s="6"/>
      <c r="R84" s="6"/>
      <c r="S84" s="6"/>
      <c r="T84" s="6"/>
      <c r="U84" s="6"/>
      <c r="V84" s="6"/>
      <c r="W84" s="6"/>
      <c r="X84" s="6"/>
      <c r="Y84" s="6"/>
      <c r="Z84" s="6"/>
      <c r="AA84" s="6"/>
      <c r="AB84" s="6"/>
      <c r="AC84" s="6"/>
      <c r="AD84" s="6"/>
      <c r="AE84" s="6"/>
    </row>
    <row r="85" spans="9:31" x14ac:dyDescent="0.25">
      <c r="I85" s="6"/>
      <c r="J85" s="6"/>
      <c r="K85" s="6"/>
      <c r="L85" s="6"/>
      <c r="M85" s="6"/>
      <c r="N85" s="6"/>
      <c r="O85" s="6"/>
      <c r="P85" s="6"/>
      <c r="Q85" s="6"/>
      <c r="R85" s="6"/>
      <c r="S85" s="6"/>
      <c r="T85" s="6"/>
      <c r="U85" s="6"/>
      <c r="V85" s="6"/>
      <c r="W85" s="6"/>
      <c r="X85" s="6"/>
      <c r="Y85" s="6"/>
      <c r="Z85" s="6"/>
      <c r="AA85" s="6"/>
      <c r="AB85" s="6"/>
      <c r="AC85" s="6"/>
      <c r="AD85" s="6"/>
      <c r="AE85" s="6"/>
    </row>
    <row r="86" spans="9:31" x14ac:dyDescent="0.25">
      <c r="I86" s="6"/>
      <c r="J86" s="6"/>
      <c r="K86" s="6"/>
      <c r="L86" s="6"/>
      <c r="M86" s="6"/>
      <c r="N86" s="6"/>
      <c r="O86" s="6"/>
      <c r="P86" s="6"/>
      <c r="Q86" s="6"/>
      <c r="R86" s="6"/>
      <c r="S86" s="6"/>
      <c r="T86" s="6"/>
      <c r="U86" s="6"/>
      <c r="V86" s="6"/>
      <c r="W86" s="6"/>
      <c r="X86" s="6"/>
      <c r="Y86" s="6"/>
      <c r="Z86" s="6"/>
      <c r="AA86" s="6"/>
      <c r="AB86" s="6"/>
      <c r="AC86" s="6"/>
      <c r="AD86" s="6"/>
      <c r="AE86" s="6"/>
    </row>
    <row r="87" spans="9:31" x14ac:dyDescent="0.25">
      <c r="I87" s="6"/>
      <c r="J87" s="6"/>
      <c r="K87" s="6"/>
      <c r="L87" s="6"/>
      <c r="M87" s="6"/>
      <c r="N87" s="6"/>
      <c r="O87" s="6"/>
      <c r="P87" s="6"/>
      <c r="Q87" s="6"/>
      <c r="R87" s="6"/>
      <c r="S87" s="6"/>
      <c r="T87" s="6"/>
      <c r="U87" s="6"/>
      <c r="V87" s="6"/>
      <c r="W87" s="6"/>
      <c r="X87" s="6"/>
      <c r="Y87" s="6"/>
      <c r="Z87" s="6"/>
      <c r="AA87" s="6"/>
      <c r="AB87" s="6"/>
      <c r="AC87" s="6"/>
      <c r="AD87" s="6"/>
      <c r="AE87" s="6"/>
    </row>
    <row r="88" spans="9:31" x14ac:dyDescent="0.25">
      <c r="I88" s="6"/>
      <c r="J88" s="6"/>
      <c r="K88" s="6"/>
      <c r="L88" s="6"/>
      <c r="M88" s="6"/>
      <c r="N88" s="6"/>
      <c r="O88" s="6"/>
      <c r="P88" s="6"/>
      <c r="Q88" s="6"/>
      <c r="R88" s="6"/>
      <c r="S88" s="6"/>
      <c r="T88" s="6"/>
      <c r="U88" s="6"/>
      <c r="V88" s="6"/>
      <c r="W88" s="6"/>
      <c r="X88" s="6"/>
      <c r="Y88" s="6"/>
      <c r="Z88" s="6"/>
      <c r="AA88" s="6"/>
      <c r="AB88" s="6"/>
      <c r="AC88" s="6"/>
      <c r="AD88" s="6"/>
      <c r="AE88" s="6"/>
    </row>
    <row r="89" spans="9:31" x14ac:dyDescent="0.25">
      <c r="I89" s="6"/>
      <c r="J89" s="6"/>
      <c r="K89" s="6"/>
      <c r="L89" s="6"/>
      <c r="M89" s="6"/>
      <c r="N89" s="6"/>
      <c r="O89" s="6"/>
      <c r="P89" s="6"/>
      <c r="Q89" s="6"/>
      <c r="R89" s="6"/>
      <c r="S89" s="6"/>
      <c r="T89" s="6"/>
      <c r="U89" s="6"/>
      <c r="V89" s="6"/>
      <c r="W89" s="6"/>
      <c r="X89" s="6"/>
      <c r="Y89" s="6"/>
      <c r="Z89" s="6"/>
      <c r="AA89" s="6"/>
      <c r="AB89" s="6"/>
      <c r="AC89" s="6"/>
      <c r="AD89" s="6"/>
      <c r="AE89" s="6"/>
    </row>
    <row r="90" spans="9:31" x14ac:dyDescent="0.25">
      <c r="I90" s="6"/>
      <c r="J90" s="6"/>
      <c r="K90" s="6"/>
      <c r="L90" s="6"/>
      <c r="M90" s="6"/>
      <c r="N90" s="6"/>
      <c r="O90" s="6"/>
      <c r="P90" s="6"/>
      <c r="Q90" s="6"/>
      <c r="R90" s="6"/>
      <c r="S90" s="6"/>
      <c r="T90" s="6"/>
      <c r="U90" s="6"/>
      <c r="V90" s="6"/>
      <c r="W90" s="6"/>
      <c r="X90" s="6"/>
      <c r="Y90" s="6"/>
      <c r="Z90" s="6"/>
      <c r="AA90" s="6"/>
      <c r="AB90" s="6"/>
      <c r="AC90" s="6"/>
      <c r="AD90" s="6"/>
      <c r="AE90" s="6"/>
    </row>
    <row r="91" spans="9:31" x14ac:dyDescent="0.25">
      <c r="I91" s="6"/>
      <c r="J91" s="6"/>
      <c r="K91" s="6"/>
      <c r="L91" s="6"/>
      <c r="M91" s="6"/>
      <c r="N91" s="6"/>
      <c r="O91" s="6"/>
      <c r="P91" s="6"/>
      <c r="Q91" s="6"/>
      <c r="R91" s="6"/>
      <c r="S91" s="6"/>
      <c r="T91" s="6"/>
      <c r="U91" s="6"/>
      <c r="V91" s="6"/>
      <c r="W91" s="6"/>
      <c r="X91" s="6"/>
      <c r="Y91" s="6"/>
      <c r="Z91" s="6"/>
      <c r="AA91" s="6"/>
      <c r="AB91" s="6"/>
      <c r="AC91" s="6"/>
      <c r="AD91" s="6"/>
      <c r="AE91" s="6"/>
    </row>
    <row r="92" spans="9:31" x14ac:dyDescent="0.25">
      <c r="I92" s="6"/>
      <c r="J92" s="6"/>
      <c r="K92" s="6"/>
      <c r="L92" s="6"/>
      <c r="M92" s="6"/>
      <c r="N92" s="6"/>
      <c r="O92" s="6"/>
      <c r="P92" s="6"/>
      <c r="Q92" s="6"/>
      <c r="R92" s="6"/>
      <c r="S92" s="6"/>
      <c r="T92" s="6"/>
      <c r="U92" s="6"/>
      <c r="V92" s="6"/>
      <c r="W92" s="6"/>
      <c r="X92" s="6"/>
      <c r="Y92" s="6"/>
      <c r="Z92" s="6"/>
      <c r="AA92" s="6"/>
      <c r="AB92" s="6"/>
      <c r="AC92" s="6"/>
      <c r="AD92" s="6"/>
      <c r="AE92" s="6"/>
    </row>
    <row r="93" spans="9:31" x14ac:dyDescent="0.25">
      <c r="I93" s="6"/>
      <c r="J93" s="6"/>
      <c r="K93" s="6"/>
      <c r="L93" s="6"/>
      <c r="M93" s="6"/>
      <c r="N93" s="6"/>
      <c r="O93" s="6"/>
      <c r="P93" s="6"/>
      <c r="Q93" s="6"/>
      <c r="R93" s="6"/>
      <c r="S93" s="6"/>
      <c r="T93" s="6"/>
      <c r="U93" s="6"/>
      <c r="V93" s="6"/>
      <c r="W93" s="6"/>
      <c r="X93" s="6"/>
      <c r="Y93" s="6"/>
      <c r="Z93" s="6"/>
      <c r="AA93" s="6"/>
      <c r="AB93" s="6"/>
      <c r="AC93" s="6"/>
      <c r="AD93" s="6"/>
      <c r="AE93" s="6"/>
    </row>
    <row r="94" spans="9:31" x14ac:dyDescent="0.25">
      <c r="I94" s="6"/>
      <c r="J94" s="6"/>
      <c r="K94" s="6"/>
      <c r="L94" s="6"/>
      <c r="M94" s="6"/>
      <c r="N94" s="6"/>
      <c r="O94" s="6"/>
      <c r="P94" s="6"/>
      <c r="Q94" s="6"/>
      <c r="R94" s="6"/>
      <c r="S94" s="6"/>
      <c r="T94" s="6"/>
      <c r="U94" s="6"/>
      <c r="V94" s="6"/>
      <c r="W94" s="6"/>
      <c r="X94" s="6"/>
      <c r="Y94" s="6"/>
      <c r="Z94" s="6"/>
      <c r="AA94" s="6"/>
      <c r="AB94" s="6"/>
      <c r="AC94" s="6"/>
      <c r="AD94" s="6"/>
      <c r="AE94" s="6"/>
    </row>
    <row r="95" spans="9:31" x14ac:dyDescent="0.25">
      <c r="I95" s="6"/>
      <c r="J95" s="6"/>
      <c r="K95" s="6"/>
      <c r="L95" s="6"/>
      <c r="M95" s="6"/>
      <c r="N95" s="6"/>
      <c r="O95" s="6"/>
      <c r="P95" s="6"/>
      <c r="Q95" s="6"/>
      <c r="R95" s="6"/>
      <c r="S95" s="6"/>
      <c r="T95" s="6"/>
      <c r="U95" s="6"/>
      <c r="V95" s="6"/>
      <c r="W95" s="6"/>
      <c r="X95" s="6"/>
      <c r="Y95" s="6"/>
      <c r="Z95" s="6"/>
      <c r="AA95" s="6"/>
      <c r="AB95" s="6"/>
      <c r="AC95" s="6"/>
      <c r="AD95" s="6"/>
      <c r="AE95" s="6"/>
    </row>
    <row r="96" spans="9:31" x14ac:dyDescent="0.25">
      <c r="I96" s="6"/>
      <c r="J96" s="6"/>
      <c r="K96" s="6"/>
      <c r="L96" s="6"/>
      <c r="M96" s="6"/>
      <c r="N96" s="6"/>
      <c r="O96" s="6"/>
      <c r="P96" s="6"/>
      <c r="Q96" s="6"/>
      <c r="R96" s="6"/>
      <c r="S96" s="6"/>
      <c r="T96" s="6"/>
      <c r="U96" s="6"/>
      <c r="V96" s="6"/>
      <c r="W96" s="6"/>
      <c r="X96" s="6"/>
      <c r="Y96" s="6"/>
      <c r="Z96" s="6"/>
      <c r="AA96" s="6"/>
      <c r="AB96" s="6"/>
      <c r="AC96" s="6"/>
      <c r="AD96" s="6"/>
      <c r="AE96" s="6"/>
    </row>
    <row r="97" spans="9:31" x14ac:dyDescent="0.25">
      <c r="I97" s="6"/>
      <c r="J97" s="6"/>
      <c r="K97" s="6"/>
      <c r="L97" s="6"/>
      <c r="M97" s="6"/>
      <c r="N97" s="6"/>
      <c r="O97" s="6"/>
      <c r="P97" s="6"/>
      <c r="Q97" s="6"/>
      <c r="R97" s="6"/>
      <c r="S97" s="6"/>
      <c r="T97" s="6"/>
      <c r="U97" s="6"/>
      <c r="V97" s="6"/>
      <c r="W97" s="6"/>
      <c r="X97" s="6"/>
      <c r="Y97" s="6"/>
      <c r="Z97" s="6"/>
      <c r="AA97" s="6"/>
      <c r="AB97" s="6"/>
      <c r="AC97" s="6"/>
      <c r="AD97" s="6"/>
      <c r="AE97" s="6"/>
    </row>
    <row r="98" spans="9:31" x14ac:dyDescent="0.25">
      <c r="I98" s="6"/>
      <c r="J98" s="6"/>
      <c r="K98" s="6"/>
      <c r="L98" s="6"/>
      <c r="M98" s="6"/>
      <c r="N98" s="6"/>
      <c r="O98" s="6"/>
      <c r="P98" s="6"/>
      <c r="Q98" s="6"/>
      <c r="R98" s="6"/>
      <c r="S98" s="6"/>
      <c r="T98" s="6"/>
      <c r="U98" s="6"/>
      <c r="V98" s="6"/>
      <c r="W98" s="6"/>
      <c r="X98" s="6"/>
      <c r="Y98" s="6"/>
      <c r="Z98" s="6"/>
      <c r="AA98" s="6"/>
      <c r="AB98" s="6"/>
      <c r="AC98" s="6"/>
      <c r="AD98" s="6"/>
      <c r="AE98" s="6"/>
    </row>
    <row r="99" spans="9:31" x14ac:dyDescent="0.25">
      <c r="I99" s="6"/>
      <c r="J99" s="6"/>
      <c r="K99" s="6"/>
      <c r="L99" s="6"/>
      <c r="M99" s="6"/>
      <c r="N99" s="6"/>
      <c r="O99" s="6"/>
      <c r="P99" s="6"/>
      <c r="Q99" s="6"/>
      <c r="R99" s="6"/>
      <c r="S99" s="6"/>
      <c r="T99" s="6"/>
      <c r="U99" s="6"/>
      <c r="V99" s="6"/>
      <c r="W99" s="6"/>
      <c r="X99" s="6"/>
      <c r="Y99" s="6"/>
      <c r="Z99" s="6"/>
      <c r="AA99" s="6"/>
      <c r="AB99" s="6"/>
      <c r="AC99" s="6"/>
      <c r="AD99" s="6"/>
      <c r="AE99" s="6"/>
    </row>
    <row r="100" spans="9:31" x14ac:dyDescent="0.25">
      <c r="I100" s="6"/>
      <c r="J100" s="6"/>
      <c r="K100" s="6"/>
      <c r="L100" s="6"/>
      <c r="M100" s="6"/>
      <c r="N100" s="6"/>
      <c r="O100" s="6"/>
      <c r="P100" s="6"/>
      <c r="Q100" s="6"/>
      <c r="R100" s="6"/>
      <c r="S100" s="6"/>
      <c r="T100" s="6"/>
      <c r="U100" s="6"/>
      <c r="V100" s="6"/>
      <c r="W100" s="6"/>
      <c r="X100" s="6"/>
      <c r="Y100" s="6"/>
      <c r="Z100" s="6"/>
      <c r="AA100" s="6"/>
      <c r="AB100" s="6"/>
      <c r="AC100" s="6"/>
      <c r="AD100" s="6"/>
      <c r="AE100" s="6"/>
    </row>
    <row r="101" spans="9:31" x14ac:dyDescent="0.25">
      <c r="I101" s="6"/>
      <c r="J101" s="6"/>
      <c r="K101" s="6"/>
      <c r="L101" s="6"/>
      <c r="M101" s="6"/>
      <c r="N101" s="6"/>
      <c r="O101" s="6"/>
      <c r="P101" s="6"/>
      <c r="Q101" s="6"/>
      <c r="R101" s="6"/>
      <c r="S101" s="6"/>
      <c r="T101" s="6"/>
      <c r="U101" s="6"/>
      <c r="V101" s="6"/>
      <c r="W101" s="6"/>
      <c r="X101" s="6"/>
      <c r="Y101" s="6"/>
      <c r="Z101" s="6"/>
      <c r="AA101" s="6"/>
      <c r="AB101" s="6"/>
      <c r="AC101" s="6"/>
      <c r="AD101" s="6"/>
      <c r="AE101" s="6"/>
    </row>
    <row r="102" spans="9:31" x14ac:dyDescent="0.25">
      <c r="I102" s="6"/>
      <c r="J102" s="6"/>
      <c r="K102" s="6"/>
      <c r="L102" s="6"/>
      <c r="M102" s="6"/>
      <c r="N102" s="6"/>
      <c r="O102" s="6"/>
      <c r="P102" s="6"/>
      <c r="Q102" s="6"/>
      <c r="R102" s="6"/>
      <c r="S102" s="6"/>
      <c r="T102" s="6"/>
      <c r="U102" s="6"/>
      <c r="V102" s="6"/>
      <c r="W102" s="6"/>
      <c r="X102" s="6"/>
      <c r="Y102" s="6"/>
      <c r="Z102" s="6"/>
      <c r="AA102" s="6"/>
      <c r="AB102" s="6"/>
      <c r="AC102" s="6"/>
      <c r="AD102" s="6"/>
      <c r="AE102" s="6"/>
    </row>
    <row r="103" spans="9:31" x14ac:dyDescent="0.25">
      <c r="I103" s="6"/>
      <c r="J103" s="6"/>
      <c r="K103" s="6"/>
      <c r="L103" s="6"/>
      <c r="M103" s="6"/>
      <c r="N103" s="6"/>
      <c r="O103" s="6"/>
      <c r="P103" s="6"/>
      <c r="Q103" s="6"/>
      <c r="R103" s="6"/>
      <c r="S103" s="6"/>
      <c r="T103" s="6"/>
      <c r="U103" s="6"/>
      <c r="V103" s="6"/>
      <c r="W103" s="6"/>
      <c r="X103" s="6"/>
      <c r="Y103" s="6"/>
      <c r="Z103" s="6"/>
      <c r="AA103" s="6"/>
      <c r="AB103" s="6"/>
      <c r="AC103" s="6"/>
      <c r="AD103" s="6"/>
      <c r="AE103" s="6"/>
    </row>
    <row r="104" spans="9:31" x14ac:dyDescent="0.25">
      <c r="I104" s="6"/>
      <c r="J104" s="6"/>
      <c r="K104" s="6"/>
      <c r="L104" s="6"/>
      <c r="M104" s="6"/>
      <c r="N104" s="6"/>
      <c r="O104" s="6"/>
      <c r="P104" s="6"/>
      <c r="Q104" s="6"/>
      <c r="R104" s="6"/>
      <c r="S104" s="6"/>
      <c r="T104" s="6"/>
      <c r="U104" s="6"/>
      <c r="V104" s="6"/>
      <c r="W104" s="6"/>
      <c r="X104" s="6"/>
      <c r="Y104" s="6"/>
      <c r="Z104" s="6"/>
      <c r="AA104" s="6"/>
      <c r="AB104" s="6"/>
      <c r="AC104" s="6"/>
      <c r="AD104" s="6"/>
      <c r="AE104" s="6"/>
    </row>
    <row r="105" spans="9:31" x14ac:dyDescent="0.25">
      <c r="I105" s="6"/>
      <c r="J105" s="6"/>
      <c r="K105" s="6"/>
      <c r="L105" s="6"/>
      <c r="M105" s="6"/>
      <c r="N105" s="6"/>
      <c r="O105" s="6"/>
      <c r="P105" s="6"/>
      <c r="Q105" s="6"/>
      <c r="R105" s="6"/>
      <c r="S105" s="6"/>
      <c r="T105" s="6"/>
      <c r="U105" s="6"/>
      <c r="V105" s="6"/>
      <c r="W105" s="6"/>
      <c r="X105" s="6"/>
      <c r="Y105" s="6"/>
      <c r="Z105" s="6"/>
      <c r="AA105" s="6"/>
      <c r="AB105" s="6"/>
      <c r="AC105" s="6"/>
      <c r="AD105" s="6"/>
      <c r="AE105" s="6"/>
    </row>
    <row r="106" spans="9:31" x14ac:dyDescent="0.25">
      <c r="I106" s="6"/>
      <c r="J106" s="6"/>
      <c r="K106" s="6"/>
      <c r="L106" s="6"/>
      <c r="M106" s="6"/>
      <c r="N106" s="6"/>
      <c r="O106" s="6"/>
      <c r="P106" s="6"/>
      <c r="Q106" s="6"/>
      <c r="R106" s="6"/>
      <c r="S106" s="6"/>
      <c r="T106" s="6"/>
      <c r="U106" s="6"/>
      <c r="V106" s="6"/>
      <c r="W106" s="6"/>
      <c r="X106" s="6"/>
      <c r="Y106" s="6"/>
      <c r="Z106" s="6"/>
      <c r="AA106" s="6"/>
      <c r="AB106" s="6"/>
      <c r="AC106" s="6"/>
      <c r="AD106" s="6"/>
      <c r="AE106" s="6"/>
    </row>
    <row r="107" spans="9:31" x14ac:dyDescent="0.25">
      <c r="I107" s="6"/>
      <c r="J107" s="6"/>
      <c r="K107" s="6"/>
      <c r="L107" s="6"/>
      <c r="M107" s="6"/>
      <c r="N107" s="6"/>
      <c r="O107" s="6"/>
      <c r="P107" s="6"/>
      <c r="Q107" s="6"/>
      <c r="R107" s="6"/>
      <c r="S107" s="6"/>
      <c r="T107" s="6"/>
      <c r="U107" s="6"/>
      <c r="V107" s="6"/>
      <c r="W107" s="6"/>
      <c r="X107" s="6"/>
      <c r="Y107" s="6"/>
      <c r="Z107" s="6"/>
      <c r="AA107" s="6"/>
      <c r="AB107" s="6"/>
      <c r="AC107" s="6"/>
      <c r="AD107" s="6"/>
      <c r="AE107" s="6"/>
    </row>
    <row r="108" spans="9:31" x14ac:dyDescent="0.25">
      <c r="I108" s="6"/>
      <c r="J108" s="6"/>
      <c r="K108" s="6"/>
      <c r="L108" s="6"/>
      <c r="M108" s="6"/>
      <c r="N108" s="6"/>
      <c r="O108" s="6"/>
      <c r="P108" s="6"/>
      <c r="Q108" s="6"/>
      <c r="R108" s="6"/>
      <c r="S108" s="6"/>
      <c r="T108" s="6"/>
      <c r="U108" s="6"/>
      <c r="V108" s="6"/>
      <c r="W108" s="6"/>
      <c r="X108" s="6"/>
      <c r="Y108" s="6"/>
      <c r="Z108" s="6"/>
      <c r="AA108" s="6"/>
      <c r="AB108" s="6"/>
      <c r="AC108" s="6"/>
      <c r="AD108" s="6"/>
      <c r="AE108" s="6"/>
    </row>
    <row r="109" spans="9:31" x14ac:dyDescent="0.25">
      <c r="I109" s="6"/>
      <c r="J109" s="6"/>
      <c r="K109" s="6"/>
      <c r="L109" s="6"/>
      <c r="M109" s="6"/>
      <c r="N109" s="6"/>
      <c r="O109" s="6"/>
      <c r="P109" s="6"/>
      <c r="Q109" s="6"/>
      <c r="R109" s="6"/>
      <c r="S109" s="6"/>
      <c r="T109" s="6"/>
      <c r="U109" s="6"/>
      <c r="V109" s="6"/>
      <c r="W109" s="6"/>
      <c r="X109" s="6"/>
      <c r="Y109" s="6"/>
      <c r="Z109" s="6"/>
      <c r="AA109" s="6"/>
      <c r="AB109" s="6"/>
      <c r="AC109" s="6"/>
      <c r="AD109" s="6"/>
      <c r="AE109" s="6"/>
    </row>
    <row r="110" spans="9:31" x14ac:dyDescent="0.25">
      <c r="I110" s="6"/>
      <c r="J110" s="6"/>
      <c r="K110" s="6"/>
      <c r="L110" s="6"/>
      <c r="M110" s="6"/>
      <c r="N110" s="6"/>
      <c r="O110" s="6"/>
      <c r="P110" s="6"/>
      <c r="Q110" s="6"/>
      <c r="R110" s="6"/>
      <c r="S110" s="6"/>
      <c r="T110" s="6"/>
      <c r="U110" s="6"/>
      <c r="V110" s="6"/>
      <c r="W110" s="6"/>
      <c r="X110" s="6"/>
      <c r="Y110" s="6"/>
      <c r="Z110" s="6"/>
      <c r="AA110" s="6"/>
      <c r="AB110" s="6"/>
      <c r="AC110" s="6"/>
      <c r="AD110" s="6"/>
      <c r="AE110" s="6"/>
    </row>
    <row r="111" spans="9:31" x14ac:dyDescent="0.25">
      <c r="I111" s="6"/>
      <c r="J111" s="6"/>
      <c r="K111" s="6"/>
      <c r="L111" s="6"/>
      <c r="M111" s="6"/>
      <c r="N111" s="6"/>
      <c r="O111" s="6"/>
      <c r="P111" s="6"/>
      <c r="Q111" s="6"/>
      <c r="R111" s="6"/>
      <c r="S111" s="6"/>
      <c r="T111" s="6"/>
      <c r="U111" s="6"/>
      <c r="V111" s="6"/>
      <c r="W111" s="6"/>
      <c r="X111" s="6"/>
      <c r="Y111" s="6"/>
      <c r="Z111" s="6"/>
      <c r="AA111" s="6"/>
      <c r="AB111" s="6"/>
      <c r="AC111" s="6"/>
      <c r="AD111" s="6"/>
      <c r="AE111" s="6"/>
    </row>
    <row r="112" spans="9:31" x14ac:dyDescent="0.25">
      <c r="I112" s="6"/>
      <c r="J112" s="6"/>
      <c r="K112" s="6"/>
      <c r="L112" s="6"/>
      <c r="M112" s="6"/>
      <c r="N112" s="6"/>
      <c r="O112" s="6"/>
      <c r="P112" s="6"/>
      <c r="Q112" s="6"/>
      <c r="R112" s="6"/>
      <c r="S112" s="6"/>
      <c r="T112" s="6"/>
      <c r="U112" s="6"/>
      <c r="V112" s="6"/>
      <c r="W112" s="6"/>
      <c r="X112" s="6"/>
      <c r="Y112" s="6"/>
      <c r="Z112" s="6"/>
      <c r="AA112" s="6"/>
      <c r="AB112" s="6"/>
      <c r="AC112" s="6"/>
      <c r="AD112" s="6"/>
      <c r="AE112" s="6"/>
    </row>
    <row r="113" spans="9:31" x14ac:dyDescent="0.25">
      <c r="I113" s="6"/>
      <c r="J113" s="6"/>
      <c r="K113" s="6"/>
      <c r="L113" s="6"/>
      <c r="M113" s="6"/>
      <c r="N113" s="6"/>
      <c r="O113" s="6"/>
      <c r="P113" s="6"/>
      <c r="Q113" s="6"/>
      <c r="R113" s="6"/>
      <c r="S113" s="6"/>
      <c r="T113" s="6"/>
      <c r="U113" s="6"/>
      <c r="V113" s="6"/>
      <c r="W113" s="6"/>
      <c r="X113" s="6"/>
      <c r="Y113" s="6"/>
      <c r="Z113" s="6"/>
      <c r="AA113" s="6"/>
      <c r="AB113" s="6"/>
      <c r="AC113" s="6"/>
      <c r="AD113" s="6"/>
      <c r="AE113" s="6"/>
    </row>
    <row r="114" spans="9:31" x14ac:dyDescent="0.25">
      <c r="I114" s="6"/>
      <c r="J114" s="6"/>
      <c r="K114" s="6"/>
      <c r="L114" s="6"/>
      <c r="M114" s="6"/>
      <c r="N114" s="6"/>
      <c r="O114" s="6"/>
      <c r="P114" s="6"/>
      <c r="Q114" s="6"/>
      <c r="R114" s="6"/>
      <c r="S114" s="6"/>
      <c r="T114" s="6"/>
      <c r="U114" s="6"/>
      <c r="V114" s="6"/>
      <c r="W114" s="6"/>
      <c r="X114" s="6"/>
      <c r="Y114" s="6"/>
      <c r="Z114" s="6"/>
      <c r="AA114" s="6"/>
      <c r="AB114" s="6"/>
      <c r="AC114" s="6"/>
      <c r="AD114" s="6"/>
      <c r="AE114" s="6"/>
    </row>
    <row r="115" spans="9:31" x14ac:dyDescent="0.25">
      <c r="I115" s="6"/>
      <c r="J115" s="6"/>
      <c r="K115" s="6"/>
      <c r="L115" s="6"/>
      <c r="M115" s="6"/>
      <c r="N115" s="6"/>
      <c r="O115" s="6"/>
      <c r="P115" s="6"/>
      <c r="Q115" s="6"/>
      <c r="R115" s="6"/>
      <c r="S115" s="6"/>
      <c r="T115" s="6"/>
      <c r="U115" s="6"/>
      <c r="V115" s="6"/>
      <c r="W115" s="6"/>
      <c r="X115" s="6"/>
      <c r="Y115" s="6"/>
      <c r="Z115" s="6"/>
      <c r="AA115" s="6"/>
      <c r="AB115" s="6"/>
      <c r="AC115" s="6"/>
      <c r="AD115" s="6"/>
      <c r="AE115" s="6"/>
    </row>
    <row r="116" spans="9:31" x14ac:dyDescent="0.25">
      <c r="I116" s="6"/>
      <c r="J116" s="6"/>
      <c r="K116" s="6"/>
      <c r="L116" s="6"/>
      <c r="M116" s="6"/>
      <c r="N116" s="6"/>
      <c r="O116" s="6"/>
      <c r="P116" s="6"/>
      <c r="Q116" s="6"/>
      <c r="R116" s="6"/>
      <c r="S116" s="6"/>
      <c r="T116" s="6"/>
      <c r="U116" s="6"/>
      <c r="V116" s="6"/>
      <c r="W116" s="6"/>
      <c r="X116" s="6"/>
      <c r="Y116" s="6"/>
      <c r="Z116" s="6"/>
      <c r="AA116" s="6"/>
      <c r="AB116" s="6"/>
      <c r="AC116" s="6"/>
      <c r="AD116" s="6"/>
      <c r="AE116" s="6"/>
    </row>
    <row r="117" spans="9:31" x14ac:dyDescent="0.25">
      <c r="I117" s="6"/>
      <c r="J117" s="6"/>
      <c r="K117" s="6"/>
      <c r="L117" s="6"/>
      <c r="M117" s="6"/>
      <c r="N117" s="6"/>
      <c r="O117" s="6"/>
      <c r="P117" s="6"/>
      <c r="Q117" s="6"/>
      <c r="R117" s="6"/>
      <c r="S117" s="6"/>
      <c r="T117" s="6"/>
      <c r="U117" s="6"/>
      <c r="V117" s="6"/>
      <c r="W117" s="6"/>
      <c r="X117" s="6"/>
      <c r="Y117" s="6"/>
      <c r="Z117" s="6"/>
      <c r="AA117" s="6"/>
      <c r="AB117" s="6"/>
      <c r="AC117" s="6"/>
      <c r="AD117" s="6"/>
      <c r="AE117" s="6"/>
    </row>
    <row r="118" spans="9:31" x14ac:dyDescent="0.25">
      <c r="I118" s="6"/>
      <c r="J118" s="6"/>
      <c r="K118" s="6"/>
      <c r="L118" s="6"/>
      <c r="M118" s="6"/>
      <c r="N118" s="6"/>
      <c r="O118" s="6"/>
      <c r="P118" s="6"/>
      <c r="Q118" s="6"/>
      <c r="R118" s="6"/>
      <c r="S118" s="6"/>
      <c r="T118" s="6"/>
      <c r="U118" s="6"/>
      <c r="V118" s="6"/>
      <c r="W118" s="6"/>
      <c r="X118" s="6"/>
      <c r="Y118" s="6"/>
      <c r="Z118" s="6"/>
      <c r="AA118" s="6"/>
      <c r="AB118" s="6"/>
      <c r="AC118" s="6"/>
      <c r="AD118" s="6"/>
      <c r="AE118" s="6"/>
    </row>
    <row r="119" spans="9:31" x14ac:dyDescent="0.25">
      <c r="I119" s="6"/>
      <c r="J119" s="6"/>
      <c r="K119" s="6"/>
      <c r="L119" s="6"/>
      <c r="M119" s="6"/>
      <c r="N119" s="6"/>
      <c r="O119" s="6"/>
      <c r="P119" s="6"/>
      <c r="Q119" s="6"/>
      <c r="R119" s="6"/>
      <c r="S119" s="6"/>
      <c r="T119" s="6"/>
      <c r="U119" s="6"/>
      <c r="V119" s="6"/>
      <c r="W119" s="6"/>
      <c r="X119" s="6"/>
      <c r="Y119" s="6"/>
      <c r="Z119" s="6"/>
      <c r="AA119" s="6"/>
      <c r="AB119" s="6"/>
      <c r="AC119" s="6"/>
      <c r="AD119" s="6"/>
      <c r="AE119" s="6"/>
    </row>
    <row r="120" spans="9:31" x14ac:dyDescent="0.25">
      <c r="I120" s="6"/>
      <c r="J120" s="6"/>
      <c r="K120" s="6"/>
      <c r="L120" s="6"/>
      <c r="M120" s="6"/>
      <c r="N120" s="6"/>
      <c r="O120" s="6"/>
      <c r="P120" s="6"/>
      <c r="Q120" s="6"/>
      <c r="R120" s="6"/>
      <c r="S120" s="6"/>
      <c r="T120" s="6"/>
      <c r="U120" s="6"/>
      <c r="V120" s="6"/>
      <c r="W120" s="6"/>
      <c r="X120" s="6"/>
      <c r="Y120" s="6"/>
      <c r="Z120" s="6"/>
      <c r="AA120" s="6"/>
      <c r="AB120" s="6"/>
      <c r="AC120" s="6"/>
      <c r="AD120" s="6"/>
      <c r="AE120" s="6"/>
    </row>
    <row r="121" spans="9:31" x14ac:dyDescent="0.25">
      <c r="I121" s="6"/>
      <c r="J121" s="6"/>
      <c r="K121" s="6"/>
      <c r="L121" s="6"/>
      <c r="M121" s="6"/>
      <c r="N121" s="6"/>
      <c r="O121" s="6"/>
      <c r="P121" s="6"/>
      <c r="Q121" s="6"/>
      <c r="R121" s="6"/>
      <c r="S121" s="6"/>
      <c r="T121" s="6"/>
      <c r="U121" s="6"/>
      <c r="V121" s="6"/>
      <c r="W121" s="6"/>
      <c r="X121" s="6"/>
      <c r="Y121" s="6"/>
      <c r="Z121" s="6"/>
      <c r="AA121" s="6"/>
      <c r="AB121" s="6"/>
      <c r="AC121" s="6"/>
      <c r="AD121" s="6"/>
      <c r="AE121" s="6"/>
    </row>
    <row r="122" spans="9:31" x14ac:dyDescent="0.25">
      <c r="I122" s="6"/>
      <c r="J122" s="6"/>
      <c r="K122" s="6"/>
      <c r="L122" s="6"/>
      <c r="M122" s="6"/>
      <c r="N122" s="6"/>
      <c r="O122" s="6"/>
      <c r="P122" s="6"/>
      <c r="Q122" s="6"/>
      <c r="R122" s="6"/>
      <c r="S122" s="6"/>
      <c r="T122" s="6"/>
      <c r="U122" s="6"/>
      <c r="V122" s="6"/>
      <c r="W122" s="6"/>
      <c r="X122" s="6"/>
      <c r="Y122" s="6"/>
      <c r="Z122" s="6"/>
      <c r="AA122" s="6"/>
      <c r="AB122" s="6"/>
      <c r="AC122" s="6"/>
      <c r="AD122" s="6"/>
      <c r="AE122" s="6"/>
    </row>
    <row r="123" spans="9:31" x14ac:dyDescent="0.25">
      <c r="I123" s="6"/>
      <c r="J123" s="6"/>
      <c r="K123" s="6"/>
      <c r="L123" s="6"/>
      <c r="M123" s="6"/>
      <c r="N123" s="6"/>
      <c r="O123" s="6"/>
      <c r="P123" s="6"/>
      <c r="Q123" s="6"/>
      <c r="R123" s="6"/>
      <c r="S123" s="6"/>
      <c r="T123" s="6"/>
      <c r="U123" s="6"/>
      <c r="V123" s="6"/>
      <c r="W123" s="6"/>
      <c r="X123" s="6"/>
      <c r="Y123" s="6"/>
      <c r="Z123" s="6"/>
      <c r="AA123" s="6"/>
      <c r="AB123" s="6"/>
      <c r="AC123" s="6"/>
      <c r="AD123" s="6"/>
      <c r="AE123" s="6"/>
    </row>
    <row r="124" spans="9:31" x14ac:dyDescent="0.25">
      <c r="I124" s="6"/>
      <c r="J124" s="6"/>
      <c r="K124" s="6"/>
      <c r="L124" s="6"/>
      <c r="M124" s="6"/>
      <c r="N124" s="6"/>
      <c r="O124" s="6"/>
      <c r="P124" s="6"/>
      <c r="Q124" s="6"/>
      <c r="R124" s="6"/>
      <c r="S124" s="6"/>
      <c r="T124" s="6"/>
      <c r="U124" s="6"/>
      <c r="V124" s="6"/>
      <c r="W124" s="6"/>
      <c r="X124" s="6"/>
      <c r="Y124" s="6"/>
      <c r="Z124" s="6"/>
      <c r="AA124" s="6"/>
      <c r="AB124" s="6"/>
      <c r="AC124" s="6"/>
      <c r="AD124" s="6"/>
      <c r="AE124" s="6"/>
    </row>
    <row r="125" spans="9:31" x14ac:dyDescent="0.25">
      <c r="I125" s="6"/>
      <c r="J125" s="6"/>
      <c r="K125" s="6"/>
      <c r="L125" s="6"/>
      <c r="M125" s="6"/>
      <c r="N125" s="6"/>
      <c r="O125" s="6"/>
      <c r="P125" s="6"/>
      <c r="Q125" s="6"/>
      <c r="R125" s="6"/>
      <c r="S125" s="6"/>
      <c r="T125" s="6"/>
      <c r="U125" s="6"/>
      <c r="V125" s="6"/>
      <c r="W125" s="6"/>
      <c r="X125" s="6"/>
      <c r="Y125" s="6"/>
      <c r="Z125" s="6"/>
      <c r="AA125" s="6"/>
      <c r="AB125" s="6"/>
      <c r="AC125" s="6"/>
      <c r="AD125" s="6"/>
      <c r="AE125" s="6"/>
    </row>
    <row r="126" spans="9:31" x14ac:dyDescent="0.25">
      <c r="I126" s="6"/>
      <c r="J126" s="6"/>
      <c r="K126" s="6"/>
      <c r="L126" s="6"/>
      <c r="M126" s="6"/>
      <c r="N126" s="6"/>
      <c r="O126" s="6"/>
      <c r="P126" s="6"/>
      <c r="Q126" s="6"/>
      <c r="R126" s="6"/>
      <c r="S126" s="6"/>
      <c r="T126" s="6"/>
      <c r="U126" s="6"/>
      <c r="V126" s="6"/>
      <c r="W126" s="6"/>
      <c r="X126" s="6"/>
      <c r="Y126" s="6"/>
      <c r="Z126" s="6"/>
      <c r="AA126" s="6"/>
      <c r="AB126" s="6"/>
      <c r="AC126" s="6"/>
      <c r="AD126" s="6"/>
      <c r="AE126" s="6"/>
    </row>
    <row r="127" spans="9:31" x14ac:dyDescent="0.25">
      <c r="I127" s="6"/>
      <c r="J127" s="6"/>
      <c r="K127" s="6"/>
      <c r="L127" s="6"/>
      <c r="M127" s="6"/>
      <c r="N127" s="6"/>
      <c r="O127" s="6"/>
      <c r="P127" s="6"/>
      <c r="Q127" s="6"/>
      <c r="R127" s="6"/>
      <c r="S127" s="6"/>
      <c r="T127" s="6"/>
      <c r="U127" s="6"/>
      <c r="V127" s="6"/>
      <c r="W127" s="6"/>
      <c r="X127" s="6"/>
      <c r="Y127" s="6"/>
      <c r="Z127" s="6"/>
      <c r="AA127" s="6"/>
      <c r="AB127" s="6"/>
      <c r="AC127" s="6"/>
      <c r="AD127" s="6"/>
      <c r="AE127" s="6"/>
    </row>
    <row r="128" spans="9:31" x14ac:dyDescent="0.25">
      <c r="I128" s="6"/>
      <c r="J128" s="6"/>
      <c r="K128" s="6"/>
      <c r="L128" s="6"/>
      <c r="M128" s="6"/>
      <c r="N128" s="6"/>
      <c r="O128" s="6"/>
      <c r="P128" s="6"/>
      <c r="Q128" s="6"/>
      <c r="R128" s="6"/>
      <c r="S128" s="6"/>
      <c r="T128" s="6"/>
      <c r="U128" s="6"/>
      <c r="V128" s="6"/>
      <c r="W128" s="6"/>
      <c r="X128" s="6"/>
      <c r="Y128" s="6"/>
      <c r="Z128" s="6"/>
      <c r="AA128" s="6"/>
      <c r="AB128" s="6"/>
      <c r="AC128" s="6"/>
      <c r="AD128" s="6"/>
      <c r="AE128" s="6"/>
    </row>
    <row r="129" spans="9:31" x14ac:dyDescent="0.25">
      <c r="I129" s="6"/>
      <c r="J129" s="6"/>
      <c r="K129" s="6"/>
      <c r="L129" s="6"/>
      <c r="M129" s="6"/>
      <c r="N129" s="6"/>
      <c r="O129" s="6"/>
      <c r="P129" s="6"/>
      <c r="Q129" s="6"/>
      <c r="R129" s="6"/>
      <c r="S129" s="6"/>
      <c r="T129" s="6"/>
      <c r="U129" s="6"/>
      <c r="V129" s="6"/>
      <c r="W129" s="6"/>
      <c r="X129" s="6"/>
      <c r="Y129" s="6"/>
      <c r="Z129" s="6"/>
      <c r="AA129" s="6"/>
      <c r="AB129" s="6"/>
      <c r="AC129" s="6"/>
      <c r="AD129" s="6"/>
      <c r="AE129" s="6"/>
    </row>
    <row r="130" spans="9:31" x14ac:dyDescent="0.25">
      <c r="I130" s="6"/>
      <c r="J130" s="6"/>
      <c r="K130" s="6"/>
      <c r="L130" s="6"/>
      <c r="M130" s="6"/>
      <c r="N130" s="6"/>
      <c r="O130" s="6"/>
      <c r="P130" s="6"/>
      <c r="Q130" s="6"/>
      <c r="R130" s="6"/>
      <c r="S130" s="6"/>
      <c r="T130" s="6"/>
      <c r="U130" s="6"/>
      <c r="V130" s="6"/>
      <c r="W130" s="6"/>
      <c r="X130" s="6"/>
      <c r="Y130" s="6"/>
      <c r="Z130" s="6"/>
      <c r="AA130" s="6"/>
      <c r="AB130" s="6"/>
      <c r="AC130" s="6"/>
      <c r="AD130" s="6"/>
      <c r="AE130" s="6"/>
    </row>
    <row r="131" spans="9:31" x14ac:dyDescent="0.25">
      <c r="I131" s="6"/>
      <c r="J131" s="6"/>
      <c r="K131" s="6"/>
      <c r="L131" s="6"/>
      <c r="M131" s="6"/>
      <c r="N131" s="6"/>
      <c r="O131" s="6"/>
      <c r="P131" s="6"/>
      <c r="Q131" s="6"/>
      <c r="R131" s="6"/>
      <c r="S131" s="6"/>
      <c r="T131" s="6"/>
      <c r="U131" s="6"/>
      <c r="V131" s="6"/>
      <c r="W131" s="6"/>
      <c r="X131" s="6"/>
      <c r="Y131" s="6"/>
      <c r="Z131" s="6"/>
      <c r="AA131" s="6"/>
      <c r="AB131" s="6"/>
      <c r="AC131" s="6"/>
      <c r="AD131" s="6"/>
      <c r="AE131" s="6"/>
    </row>
    <row r="132" spans="9:31" x14ac:dyDescent="0.25">
      <c r="I132" s="6"/>
      <c r="J132" s="6"/>
      <c r="K132" s="6"/>
      <c r="L132" s="6"/>
      <c r="M132" s="6"/>
      <c r="N132" s="6"/>
      <c r="O132" s="6"/>
      <c r="P132" s="6"/>
      <c r="Q132" s="6"/>
      <c r="R132" s="6"/>
      <c r="S132" s="6"/>
      <c r="T132" s="6"/>
      <c r="U132" s="6"/>
      <c r="V132" s="6"/>
      <c r="W132" s="6"/>
      <c r="X132" s="6"/>
      <c r="Y132" s="6"/>
      <c r="Z132" s="6"/>
      <c r="AA132" s="6"/>
      <c r="AB132" s="6"/>
      <c r="AC132" s="6"/>
      <c r="AD132" s="6"/>
      <c r="AE132" s="6"/>
    </row>
    <row r="133" spans="9:31" x14ac:dyDescent="0.25">
      <c r="I133" s="6"/>
      <c r="J133" s="6"/>
      <c r="K133" s="6"/>
      <c r="L133" s="6"/>
      <c r="M133" s="6"/>
      <c r="N133" s="6"/>
      <c r="O133" s="6"/>
      <c r="P133" s="6"/>
      <c r="Q133" s="6"/>
      <c r="R133" s="6"/>
      <c r="S133" s="6"/>
      <c r="T133" s="6"/>
      <c r="U133" s="6"/>
      <c r="V133" s="6"/>
      <c r="W133" s="6"/>
      <c r="X133" s="6"/>
      <c r="Y133" s="6"/>
      <c r="Z133" s="6"/>
      <c r="AA133" s="6"/>
      <c r="AB133" s="6"/>
      <c r="AC133" s="6"/>
      <c r="AD133" s="6"/>
      <c r="AE133" s="6"/>
    </row>
    <row r="134" spans="9:31" x14ac:dyDescent="0.25">
      <c r="I134" s="6"/>
      <c r="J134" s="6"/>
      <c r="K134" s="6"/>
      <c r="L134" s="6"/>
      <c r="M134" s="6"/>
      <c r="N134" s="6"/>
      <c r="O134" s="6"/>
      <c r="P134" s="6"/>
      <c r="Q134" s="6"/>
      <c r="R134" s="6"/>
      <c r="S134" s="6"/>
      <c r="T134" s="6"/>
      <c r="U134" s="6"/>
      <c r="V134" s="6"/>
      <c r="W134" s="6"/>
      <c r="X134" s="6"/>
      <c r="Y134" s="6"/>
      <c r="Z134" s="6"/>
      <c r="AA134" s="6"/>
      <c r="AB134" s="6"/>
      <c r="AC134" s="6"/>
      <c r="AD134" s="6"/>
      <c r="AE134" s="6"/>
    </row>
    <row r="135" spans="9:31" x14ac:dyDescent="0.25">
      <c r="I135" s="6"/>
      <c r="J135" s="6"/>
      <c r="K135" s="6"/>
      <c r="L135" s="6"/>
      <c r="M135" s="6"/>
      <c r="N135" s="6"/>
      <c r="O135" s="6"/>
      <c r="P135" s="6"/>
      <c r="Q135" s="6"/>
      <c r="R135" s="6"/>
      <c r="S135" s="6"/>
      <c r="T135" s="6"/>
      <c r="U135" s="6"/>
      <c r="V135" s="6"/>
      <c r="W135" s="6"/>
      <c r="X135" s="6"/>
      <c r="Y135" s="6"/>
      <c r="Z135" s="6"/>
      <c r="AA135" s="6"/>
      <c r="AB135" s="6"/>
      <c r="AC135" s="6"/>
      <c r="AD135" s="6"/>
      <c r="AE135" s="6"/>
    </row>
    <row r="136" spans="9:31" x14ac:dyDescent="0.25">
      <c r="I136" s="6"/>
      <c r="J136" s="6"/>
      <c r="K136" s="6"/>
      <c r="L136" s="6"/>
      <c r="M136" s="6"/>
      <c r="N136" s="6"/>
      <c r="O136" s="6"/>
      <c r="P136" s="6"/>
      <c r="Q136" s="6"/>
      <c r="R136" s="6"/>
      <c r="S136" s="6"/>
      <c r="T136" s="6"/>
      <c r="U136" s="6"/>
      <c r="V136" s="6"/>
      <c r="W136" s="6"/>
      <c r="X136" s="6"/>
      <c r="Y136" s="6"/>
      <c r="Z136" s="6"/>
      <c r="AA136" s="6"/>
      <c r="AB136" s="6"/>
      <c r="AC136" s="6"/>
      <c r="AD136" s="6"/>
      <c r="AE136" s="6"/>
    </row>
    <row r="137" spans="9:31" x14ac:dyDescent="0.25">
      <c r="I137" s="6"/>
      <c r="J137" s="6"/>
      <c r="K137" s="6"/>
      <c r="L137" s="6"/>
      <c r="M137" s="6"/>
      <c r="N137" s="6"/>
      <c r="O137" s="6"/>
      <c r="P137" s="6"/>
      <c r="Q137" s="6"/>
      <c r="R137" s="6"/>
      <c r="S137" s="6"/>
      <c r="T137" s="6"/>
      <c r="U137" s="6"/>
      <c r="V137" s="6"/>
      <c r="W137" s="6"/>
      <c r="X137" s="6"/>
      <c r="Y137" s="6"/>
      <c r="Z137" s="6"/>
      <c r="AA137" s="6"/>
      <c r="AB137" s="6"/>
      <c r="AC137" s="6"/>
      <c r="AD137" s="6"/>
      <c r="AE137" s="6"/>
    </row>
    <row r="138" spans="9:31" x14ac:dyDescent="0.25">
      <c r="I138" s="6"/>
      <c r="J138" s="6"/>
      <c r="K138" s="6"/>
      <c r="L138" s="6"/>
      <c r="M138" s="6"/>
      <c r="N138" s="6"/>
      <c r="O138" s="6"/>
      <c r="P138" s="6"/>
      <c r="Q138" s="6"/>
      <c r="R138" s="6"/>
      <c r="S138" s="6"/>
      <c r="T138" s="6"/>
      <c r="U138" s="6"/>
      <c r="V138" s="6"/>
      <c r="W138" s="6"/>
      <c r="X138" s="6"/>
      <c r="Y138" s="6"/>
      <c r="Z138" s="6"/>
      <c r="AA138" s="6"/>
      <c r="AB138" s="6"/>
      <c r="AC138" s="6"/>
      <c r="AD138" s="6"/>
      <c r="AE138" s="6"/>
    </row>
    <row r="139" spans="9:31" x14ac:dyDescent="0.25">
      <c r="I139" s="6"/>
      <c r="J139" s="6"/>
      <c r="K139" s="6"/>
      <c r="L139" s="6"/>
      <c r="M139" s="6"/>
      <c r="N139" s="6"/>
      <c r="O139" s="6"/>
      <c r="P139" s="6"/>
      <c r="Q139" s="6"/>
      <c r="R139" s="6"/>
      <c r="S139" s="6"/>
      <c r="T139" s="6"/>
      <c r="U139" s="6"/>
      <c r="V139" s="6"/>
      <c r="W139" s="6"/>
      <c r="X139" s="6"/>
      <c r="Y139" s="6"/>
      <c r="Z139" s="6"/>
      <c r="AA139" s="6"/>
      <c r="AB139" s="6"/>
      <c r="AC139" s="6"/>
      <c r="AD139" s="6"/>
      <c r="AE139" s="6"/>
    </row>
    <row r="140" spans="9:31" x14ac:dyDescent="0.25">
      <c r="I140" s="6"/>
      <c r="J140" s="6"/>
      <c r="K140" s="6"/>
      <c r="L140" s="6"/>
      <c r="M140" s="6"/>
      <c r="N140" s="6"/>
      <c r="O140" s="6"/>
      <c r="P140" s="6"/>
      <c r="Q140" s="6"/>
      <c r="R140" s="6"/>
      <c r="S140" s="6"/>
      <c r="T140" s="6"/>
      <c r="U140" s="6"/>
      <c r="V140" s="6"/>
      <c r="W140" s="6"/>
      <c r="X140" s="6"/>
      <c r="Y140" s="6"/>
      <c r="Z140" s="6"/>
      <c r="AA140" s="6"/>
      <c r="AB140" s="6"/>
      <c r="AC140" s="6"/>
      <c r="AD140" s="6"/>
      <c r="AE140" s="6"/>
    </row>
    <row r="141" spans="9:31" x14ac:dyDescent="0.25">
      <c r="I141" s="6"/>
      <c r="J141" s="6"/>
      <c r="K141" s="6"/>
      <c r="L141" s="6"/>
      <c r="M141" s="6"/>
      <c r="N141" s="6"/>
      <c r="O141" s="6"/>
      <c r="P141" s="6"/>
      <c r="Q141" s="6"/>
      <c r="R141" s="6"/>
      <c r="S141" s="6"/>
      <c r="T141" s="6"/>
      <c r="U141" s="6"/>
      <c r="V141" s="6"/>
      <c r="W141" s="6"/>
      <c r="X141" s="6"/>
      <c r="Y141" s="6"/>
      <c r="Z141" s="6"/>
      <c r="AA141" s="6"/>
      <c r="AB141" s="6"/>
      <c r="AC141" s="6"/>
      <c r="AD141" s="6"/>
      <c r="AE141" s="6"/>
    </row>
    <row r="142" spans="9:31" x14ac:dyDescent="0.25">
      <c r="I142" s="6"/>
      <c r="J142" s="6"/>
      <c r="K142" s="6"/>
      <c r="L142" s="6"/>
      <c r="M142" s="6"/>
      <c r="N142" s="6"/>
      <c r="O142" s="6"/>
      <c r="P142" s="6"/>
      <c r="Q142" s="6"/>
      <c r="R142" s="6"/>
      <c r="S142" s="6"/>
      <c r="T142" s="6"/>
      <c r="U142" s="6"/>
      <c r="V142" s="6"/>
      <c r="W142" s="6"/>
      <c r="X142" s="6"/>
      <c r="Y142" s="6"/>
      <c r="Z142" s="6"/>
      <c r="AA142" s="6"/>
      <c r="AB142" s="6"/>
      <c r="AC142" s="6"/>
      <c r="AD142" s="6"/>
      <c r="AE142" s="6"/>
    </row>
    <row r="143" spans="9:31" x14ac:dyDescent="0.25">
      <c r="I143" s="6"/>
      <c r="J143" s="6"/>
      <c r="K143" s="6"/>
      <c r="L143" s="6"/>
      <c r="M143" s="6"/>
      <c r="N143" s="6"/>
      <c r="O143" s="6"/>
      <c r="P143" s="6"/>
      <c r="Q143" s="6"/>
      <c r="R143" s="6"/>
      <c r="S143" s="6"/>
      <c r="T143" s="6"/>
      <c r="U143" s="6"/>
      <c r="V143" s="6"/>
      <c r="W143" s="6"/>
      <c r="X143" s="6"/>
      <c r="Y143" s="6"/>
      <c r="Z143" s="6"/>
      <c r="AA143" s="6"/>
      <c r="AB143" s="6"/>
      <c r="AC143" s="6"/>
      <c r="AD143" s="6"/>
      <c r="AE143" s="6"/>
    </row>
    <row r="144" spans="9:31" x14ac:dyDescent="0.25">
      <c r="I144" s="6"/>
      <c r="J144" s="6"/>
      <c r="K144" s="6"/>
      <c r="L144" s="6"/>
      <c r="M144" s="6"/>
      <c r="N144" s="6"/>
      <c r="O144" s="6"/>
      <c r="P144" s="6"/>
      <c r="Q144" s="6"/>
      <c r="R144" s="6"/>
      <c r="S144" s="6"/>
      <c r="T144" s="6"/>
      <c r="U144" s="6"/>
      <c r="V144" s="6"/>
      <c r="W144" s="6"/>
      <c r="X144" s="6"/>
      <c r="Y144" s="6"/>
      <c r="Z144" s="6"/>
      <c r="AA144" s="6"/>
      <c r="AB144" s="6"/>
      <c r="AC144" s="6"/>
      <c r="AD144" s="6"/>
      <c r="AE144" s="6"/>
    </row>
    <row r="145" spans="9:31" x14ac:dyDescent="0.25">
      <c r="I145" s="6"/>
      <c r="J145" s="6"/>
      <c r="K145" s="6"/>
      <c r="L145" s="6"/>
      <c r="M145" s="6"/>
      <c r="N145" s="6"/>
      <c r="O145" s="6"/>
      <c r="P145" s="6"/>
      <c r="Q145" s="6"/>
      <c r="R145" s="6"/>
      <c r="S145" s="6"/>
      <c r="T145" s="6"/>
      <c r="U145" s="6"/>
      <c r="V145" s="6"/>
      <c r="W145" s="6"/>
      <c r="X145" s="6"/>
      <c r="Y145" s="6"/>
      <c r="Z145" s="6"/>
      <c r="AA145" s="6"/>
      <c r="AB145" s="6"/>
      <c r="AC145" s="6"/>
      <c r="AD145" s="6"/>
      <c r="AE145" s="6"/>
    </row>
    <row r="146" spans="9:31" x14ac:dyDescent="0.25">
      <c r="I146" s="6"/>
      <c r="J146" s="6"/>
      <c r="K146" s="6"/>
      <c r="L146" s="6"/>
      <c r="M146" s="6"/>
      <c r="N146" s="6"/>
      <c r="O146" s="6"/>
      <c r="P146" s="6"/>
      <c r="Q146" s="6"/>
      <c r="R146" s="6"/>
      <c r="S146" s="6"/>
      <c r="T146" s="6"/>
      <c r="U146" s="6"/>
      <c r="V146" s="6"/>
      <c r="W146" s="6"/>
      <c r="X146" s="6"/>
      <c r="Y146" s="6"/>
      <c r="Z146" s="6"/>
      <c r="AA146" s="6"/>
      <c r="AB146" s="6"/>
      <c r="AC146" s="6"/>
      <c r="AD146" s="6"/>
      <c r="AE146" s="6"/>
    </row>
    <row r="147" spans="9:31" x14ac:dyDescent="0.25">
      <c r="I147" s="6"/>
      <c r="J147" s="6"/>
      <c r="K147" s="6"/>
      <c r="L147" s="6"/>
      <c r="M147" s="6"/>
      <c r="N147" s="6"/>
      <c r="O147" s="6"/>
      <c r="P147" s="6"/>
      <c r="Q147" s="6"/>
      <c r="R147" s="6"/>
      <c r="S147" s="6"/>
      <c r="T147" s="6"/>
      <c r="U147" s="6"/>
      <c r="V147" s="6"/>
      <c r="W147" s="6"/>
      <c r="X147" s="6"/>
      <c r="Y147" s="6"/>
      <c r="Z147" s="6"/>
      <c r="AA147" s="6"/>
      <c r="AB147" s="6"/>
      <c r="AC147" s="6"/>
      <c r="AD147" s="6"/>
      <c r="AE147" s="6"/>
    </row>
    <row r="148" spans="9:31" x14ac:dyDescent="0.25">
      <c r="I148" s="6"/>
      <c r="J148" s="6"/>
      <c r="K148" s="6"/>
      <c r="L148" s="6"/>
      <c r="M148" s="6"/>
      <c r="N148" s="6"/>
      <c r="O148" s="6"/>
      <c r="P148" s="6"/>
      <c r="Q148" s="6"/>
      <c r="R148" s="6"/>
      <c r="S148" s="6"/>
      <c r="T148" s="6"/>
      <c r="U148" s="6"/>
      <c r="V148" s="6"/>
      <c r="W148" s="6"/>
      <c r="X148" s="6"/>
      <c r="Y148" s="6"/>
      <c r="Z148" s="6"/>
      <c r="AA148" s="6"/>
      <c r="AB148" s="6"/>
      <c r="AC148" s="6"/>
      <c r="AD148" s="6"/>
      <c r="AE148" s="6"/>
    </row>
    <row r="149" spans="9:31" x14ac:dyDescent="0.25">
      <c r="I149" s="6"/>
      <c r="J149" s="6"/>
      <c r="K149" s="6"/>
      <c r="L149" s="6"/>
      <c r="M149" s="6"/>
      <c r="N149" s="6"/>
      <c r="O149" s="6"/>
      <c r="P149" s="6"/>
      <c r="Q149" s="6"/>
      <c r="R149" s="6"/>
      <c r="S149" s="6"/>
      <c r="T149" s="6"/>
      <c r="U149" s="6"/>
      <c r="V149" s="6"/>
      <c r="W149" s="6"/>
      <c r="X149" s="6"/>
      <c r="Y149" s="6"/>
      <c r="Z149" s="6"/>
      <c r="AA149" s="6"/>
      <c r="AB149" s="6"/>
      <c r="AC149" s="6"/>
      <c r="AD149" s="6"/>
      <c r="AE149" s="6"/>
    </row>
    <row r="150" spans="9:31" x14ac:dyDescent="0.25">
      <c r="I150" s="6"/>
      <c r="J150" s="6"/>
      <c r="K150" s="6"/>
      <c r="L150" s="6"/>
      <c r="M150" s="6"/>
      <c r="N150" s="6"/>
      <c r="O150" s="6"/>
      <c r="P150" s="6"/>
      <c r="Q150" s="6"/>
      <c r="R150" s="6"/>
      <c r="S150" s="6"/>
      <c r="T150" s="6"/>
      <c r="U150" s="6"/>
      <c r="V150" s="6"/>
      <c r="W150" s="6"/>
      <c r="X150" s="6"/>
      <c r="Y150" s="6"/>
      <c r="Z150" s="6"/>
      <c r="AA150" s="6"/>
      <c r="AB150" s="6"/>
      <c r="AC150" s="6"/>
      <c r="AD150" s="6"/>
      <c r="AE150" s="6"/>
    </row>
    <row r="151" spans="9:31" x14ac:dyDescent="0.25">
      <c r="I151" s="6"/>
      <c r="J151" s="6"/>
      <c r="K151" s="6"/>
      <c r="L151" s="6"/>
      <c r="M151" s="6"/>
      <c r="N151" s="6"/>
      <c r="O151" s="6"/>
      <c r="P151" s="6"/>
      <c r="Q151" s="6"/>
      <c r="R151" s="6"/>
      <c r="S151" s="6"/>
      <c r="T151" s="6"/>
      <c r="U151" s="6"/>
      <c r="V151" s="6"/>
      <c r="W151" s="6"/>
      <c r="X151" s="6"/>
      <c r="Y151" s="6"/>
      <c r="Z151" s="6"/>
      <c r="AA151" s="6"/>
      <c r="AB151" s="6"/>
      <c r="AC151" s="6"/>
      <c r="AD151" s="6"/>
      <c r="AE151" s="6"/>
    </row>
    <row r="152" spans="9:31" x14ac:dyDescent="0.25">
      <c r="I152" s="6"/>
      <c r="J152" s="6"/>
      <c r="K152" s="6"/>
      <c r="L152" s="6"/>
      <c r="M152" s="6"/>
      <c r="N152" s="6"/>
      <c r="O152" s="6"/>
      <c r="P152" s="6"/>
      <c r="Q152" s="6"/>
      <c r="R152" s="6"/>
      <c r="S152" s="6"/>
      <c r="T152" s="6"/>
      <c r="U152" s="6"/>
      <c r="V152" s="6"/>
      <c r="W152" s="6"/>
      <c r="X152" s="6"/>
      <c r="Y152" s="6"/>
      <c r="Z152" s="6"/>
      <c r="AA152" s="6"/>
      <c r="AB152" s="6"/>
      <c r="AC152" s="6"/>
      <c r="AD152" s="6"/>
      <c r="AE152" s="6"/>
    </row>
    <row r="153" spans="9:31" x14ac:dyDescent="0.25">
      <c r="I153" s="6"/>
      <c r="J153" s="6"/>
      <c r="K153" s="6"/>
      <c r="L153" s="6"/>
      <c r="M153" s="6"/>
      <c r="N153" s="6"/>
      <c r="O153" s="6"/>
      <c r="P153" s="6"/>
      <c r="Q153" s="6"/>
      <c r="R153" s="6"/>
      <c r="S153" s="6"/>
      <c r="T153" s="6"/>
      <c r="U153" s="6"/>
      <c r="V153" s="6"/>
      <c r="W153" s="6"/>
      <c r="X153" s="6"/>
      <c r="Y153" s="6"/>
      <c r="Z153" s="6"/>
      <c r="AA153" s="6"/>
      <c r="AB153" s="6"/>
      <c r="AC153" s="6"/>
      <c r="AD153" s="6"/>
      <c r="AE153" s="6"/>
    </row>
    <row r="154" spans="9:31" x14ac:dyDescent="0.25">
      <c r="I154" s="6"/>
      <c r="J154" s="6"/>
      <c r="K154" s="6"/>
      <c r="L154" s="6"/>
      <c r="M154" s="6"/>
      <c r="N154" s="6"/>
      <c r="O154" s="6"/>
      <c r="P154" s="6"/>
      <c r="Q154" s="6"/>
      <c r="R154" s="6"/>
      <c r="S154" s="6"/>
      <c r="T154" s="6"/>
      <c r="U154" s="6"/>
      <c r="V154" s="6"/>
      <c r="W154" s="6"/>
      <c r="X154" s="6"/>
      <c r="Y154" s="6"/>
      <c r="Z154" s="6"/>
      <c r="AA154" s="6"/>
      <c r="AB154" s="6"/>
      <c r="AC154" s="6"/>
      <c r="AD154" s="6"/>
      <c r="AE154" s="6"/>
    </row>
    <row r="155" spans="9:31" x14ac:dyDescent="0.25">
      <c r="I155" s="6"/>
      <c r="J155" s="6"/>
      <c r="K155" s="6"/>
      <c r="L155" s="6"/>
      <c r="M155" s="6"/>
      <c r="N155" s="6"/>
      <c r="O155" s="6"/>
      <c r="P155" s="6"/>
      <c r="Q155" s="6"/>
      <c r="R155" s="6"/>
      <c r="S155" s="6"/>
      <c r="T155" s="6"/>
      <c r="U155" s="6"/>
      <c r="V155" s="6"/>
      <c r="W155" s="6"/>
      <c r="X155" s="6"/>
      <c r="Y155" s="6"/>
      <c r="Z155" s="6"/>
      <c r="AA155" s="6"/>
      <c r="AB155" s="6"/>
      <c r="AC155" s="6"/>
      <c r="AD155" s="6"/>
      <c r="AE155" s="6"/>
    </row>
    <row r="156" spans="9:31" x14ac:dyDescent="0.25">
      <c r="I156" s="6"/>
      <c r="J156" s="6"/>
      <c r="K156" s="6"/>
      <c r="L156" s="6"/>
      <c r="M156" s="6"/>
      <c r="N156" s="6"/>
      <c r="O156" s="6"/>
      <c r="P156" s="6"/>
      <c r="Q156" s="6"/>
      <c r="R156" s="6"/>
      <c r="S156" s="6"/>
      <c r="T156" s="6"/>
      <c r="U156" s="6"/>
      <c r="V156" s="6"/>
      <c r="W156" s="6"/>
      <c r="X156" s="6"/>
      <c r="Y156" s="6"/>
      <c r="Z156" s="6"/>
      <c r="AA156" s="6"/>
      <c r="AB156" s="6"/>
      <c r="AC156" s="6"/>
      <c r="AD156" s="6"/>
      <c r="AE156" s="6"/>
    </row>
    <row r="157" spans="9:31" x14ac:dyDescent="0.25">
      <c r="I157" s="6"/>
      <c r="J157" s="6"/>
      <c r="K157" s="6"/>
      <c r="L157" s="6"/>
      <c r="M157" s="6"/>
      <c r="N157" s="6"/>
      <c r="O157" s="6"/>
      <c r="P157" s="6"/>
      <c r="Q157" s="6"/>
      <c r="R157" s="6"/>
      <c r="S157" s="6"/>
      <c r="T157" s="6"/>
      <c r="U157" s="6"/>
      <c r="V157" s="6"/>
      <c r="W157" s="6"/>
      <c r="X157" s="6"/>
      <c r="Y157" s="6"/>
      <c r="Z157" s="6"/>
      <c r="AA157" s="6"/>
      <c r="AB157" s="6"/>
      <c r="AC157" s="6"/>
      <c r="AD157" s="6"/>
      <c r="AE157" s="6"/>
    </row>
    <row r="158" spans="9:31" x14ac:dyDescent="0.25">
      <c r="I158" s="6"/>
      <c r="J158" s="6"/>
      <c r="K158" s="6"/>
      <c r="L158" s="6"/>
      <c r="M158" s="6"/>
      <c r="N158" s="6"/>
      <c r="O158" s="6"/>
      <c r="P158" s="6"/>
      <c r="Q158" s="6"/>
      <c r="R158" s="6"/>
      <c r="S158" s="6"/>
      <c r="T158" s="6"/>
      <c r="U158" s="6"/>
      <c r="V158" s="6"/>
      <c r="W158" s="6"/>
      <c r="X158" s="6"/>
      <c r="Y158" s="6"/>
      <c r="Z158" s="6"/>
      <c r="AA158" s="6"/>
      <c r="AB158" s="6"/>
      <c r="AC158" s="6"/>
      <c r="AD158" s="6"/>
      <c r="AE158" s="6"/>
    </row>
    <row r="159" spans="9:31" x14ac:dyDescent="0.25">
      <c r="I159" s="6"/>
      <c r="J159" s="6"/>
      <c r="K159" s="6"/>
      <c r="L159" s="6"/>
      <c r="M159" s="6"/>
      <c r="N159" s="6"/>
      <c r="O159" s="6"/>
      <c r="P159" s="6"/>
      <c r="Q159" s="6"/>
      <c r="R159" s="6"/>
      <c r="S159" s="6"/>
      <c r="T159" s="6"/>
      <c r="U159" s="6"/>
      <c r="V159" s="6"/>
      <c r="W159" s="6"/>
      <c r="X159" s="6"/>
      <c r="Y159" s="6"/>
      <c r="Z159" s="6"/>
      <c r="AA159" s="6"/>
      <c r="AB159" s="6"/>
      <c r="AC159" s="6"/>
      <c r="AD159" s="6"/>
      <c r="AE159" s="6"/>
    </row>
    <row r="160" spans="9:31" x14ac:dyDescent="0.25">
      <c r="I160" s="6"/>
      <c r="J160" s="6"/>
      <c r="K160" s="6"/>
      <c r="L160" s="6"/>
      <c r="M160" s="6"/>
      <c r="N160" s="6"/>
      <c r="O160" s="6"/>
      <c r="P160" s="6"/>
      <c r="Q160" s="6"/>
      <c r="R160" s="6"/>
      <c r="S160" s="6"/>
      <c r="T160" s="6"/>
      <c r="U160" s="6"/>
      <c r="V160" s="6"/>
      <c r="W160" s="6"/>
      <c r="X160" s="6"/>
      <c r="Y160" s="6"/>
      <c r="Z160" s="6"/>
      <c r="AA160" s="6"/>
      <c r="AB160" s="6"/>
      <c r="AC160" s="6"/>
      <c r="AD160" s="6"/>
      <c r="AE160" s="6"/>
    </row>
    <row r="161" spans="9:31" x14ac:dyDescent="0.25">
      <c r="I161" s="6"/>
      <c r="J161" s="6"/>
      <c r="K161" s="6"/>
      <c r="L161" s="6"/>
      <c r="M161" s="6"/>
      <c r="N161" s="6"/>
      <c r="O161" s="6"/>
      <c r="P161" s="6"/>
      <c r="Q161" s="6"/>
      <c r="R161" s="6"/>
      <c r="S161" s="6"/>
      <c r="T161" s="6"/>
      <c r="U161" s="6"/>
      <c r="V161" s="6"/>
      <c r="W161" s="6"/>
      <c r="X161" s="6"/>
      <c r="Y161" s="6"/>
      <c r="Z161" s="6"/>
      <c r="AA161" s="6"/>
      <c r="AB161" s="6"/>
      <c r="AC161" s="6"/>
      <c r="AD161" s="6"/>
      <c r="AE161" s="6"/>
    </row>
    <row r="162" spans="9:31" x14ac:dyDescent="0.25">
      <c r="I162" s="6"/>
      <c r="J162" s="6"/>
      <c r="K162" s="6"/>
      <c r="L162" s="6"/>
      <c r="M162" s="6"/>
      <c r="N162" s="6"/>
      <c r="O162" s="6"/>
      <c r="P162" s="6"/>
      <c r="Q162" s="6"/>
      <c r="R162" s="6"/>
      <c r="S162" s="6"/>
      <c r="T162" s="6"/>
      <c r="U162" s="6"/>
      <c r="V162" s="6"/>
      <c r="W162" s="6"/>
      <c r="X162" s="6"/>
      <c r="Y162" s="6"/>
      <c r="Z162" s="6"/>
      <c r="AA162" s="6"/>
      <c r="AB162" s="6"/>
      <c r="AC162" s="6"/>
      <c r="AD162" s="6"/>
      <c r="AE162" s="6"/>
    </row>
    <row r="163" spans="9:31" x14ac:dyDescent="0.25">
      <c r="I163" s="6"/>
      <c r="J163" s="6"/>
      <c r="K163" s="6"/>
      <c r="L163" s="6"/>
      <c r="M163" s="6"/>
      <c r="N163" s="6"/>
      <c r="O163" s="6"/>
      <c r="P163" s="6"/>
      <c r="Q163" s="6"/>
      <c r="R163" s="6"/>
      <c r="S163" s="6"/>
      <c r="T163" s="6"/>
      <c r="U163" s="6"/>
      <c r="V163" s="6"/>
      <c r="W163" s="6"/>
      <c r="X163" s="6"/>
      <c r="Y163" s="6"/>
      <c r="Z163" s="6"/>
      <c r="AA163" s="6"/>
      <c r="AB163" s="6"/>
      <c r="AC163" s="6"/>
      <c r="AD163" s="6"/>
      <c r="AE163" s="6"/>
    </row>
    <row r="164" spans="9:31" x14ac:dyDescent="0.25">
      <c r="I164" s="6"/>
      <c r="J164" s="6"/>
      <c r="K164" s="6"/>
      <c r="L164" s="6"/>
      <c r="M164" s="6"/>
      <c r="N164" s="6"/>
      <c r="O164" s="6"/>
      <c r="P164" s="6"/>
      <c r="Q164" s="6"/>
      <c r="R164" s="6"/>
      <c r="S164" s="6"/>
      <c r="T164" s="6"/>
      <c r="U164" s="6"/>
      <c r="V164" s="6"/>
      <c r="W164" s="6"/>
      <c r="X164" s="6"/>
      <c r="Y164" s="6"/>
      <c r="Z164" s="6"/>
      <c r="AA164" s="6"/>
      <c r="AB164" s="6"/>
      <c r="AC164" s="6"/>
      <c r="AD164" s="6"/>
      <c r="AE164" s="6"/>
    </row>
    <row r="165" spans="9:31" x14ac:dyDescent="0.25">
      <c r="I165" s="6"/>
      <c r="J165" s="6"/>
      <c r="K165" s="6"/>
      <c r="L165" s="6"/>
      <c r="M165" s="6"/>
      <c r="N165" s="6"/>
      <c r="O165" s="6"/>
      <c r="P165" s="6"/>
      <c r="Q165" s="6"/>
      <c r="R165" s="6"/>
      <c r="S165" s="6"/>
      <c r="T165" s="6"/>
      <c r="U165" s="6"/>
      <c r="V165" s="6"/>
      <c r="W165" s="6"/>
      <c r="X165" s="6"/>
      <c r="Y165" s="6"/>
      <c r="Z165" s="6"/>
      <c r="AA165" s="6"/>
      <c r="AB165" s="6"/>
      <c r="AC165" s="6"/>
      <c r="AD165" s="6"/>
      <c r="AE165" s="6"/>
    </row>
    <row r="166" spans="9:31" x14ac:dyDescent="0.25">
      <c r="I166" s="6"/>
      <c r="J166" s="6"/>
      <c r="K166" s="6"/>
      <c r="L166" s="6"/>
      <c r="M166" s="6"/>
      <c r="N166" s="6"/>
      <c r="O166" s="6"/>
      <c r="P166" s="6"/>
      <c r="Q166" s="6"/>
      <c r="R166" s="6"/>
      <c r="S166" s="6"/>
      <c r="T166" s="6"/>
      <c r="U166" s="6"/>
      <c r="V166" s="6"/>
      <c r="W166" s="6"/>
      <c r="X166" s="6"/>
      <c r="Y166" s="6"/>
      <c r="Z166" s="6"/>
      <c r="AA166" s="6"/>
      <c r="AB166" s="6"/>
      <c r="AC166" s="6"/>
      <c r="AD166" s="6"/>
      <c r="AE166" s="6"/>
    </row>
    <row r="167" spans="9:31" x14ac:dyDescent="0.25">
      <c r="I167" s="6"/>
      <c r="J167" s="6"/>
      <c r="K167" s="6"/>
      <c r="L167" s="6"/>
      <c r="M167" s="6"/>
      <c r="N167" s="6"/>
      <c r="O167" s="6"/>
      <c r="P167" s="6"/>
      <c r="Q167" s="6"/>
      <c r="R167" s="6"/>
      <c r="S167" s="6"/>
      <c r="T167" s="6"/>
      <c r="U167" s="6"/>
      <c r="V167" s="6"/>
      <c r="W167" s="6"/>
      <c r="X167" s="6"/>
      <c r="Y167" s="6"/>
      <c r="Z167" s="6"/>
      <c r="AA167" s="6"/>
      <c r="AB167" s="6"/>
      <c r="AC167" s="6"/>
      <c r="AD167" s="6"/>
      <c r="AE167" s="6"/>
    </row>
    <row r="168" spans="9:31" x14ac:dyDescent="0.25">
      <c r="I168" s="6"/>
      <c r="J168" s="6"/>
      <c r="K168" s="6"/>
      <c r="L168" s="6"/>
      <c r="M168" s="6"/>
      <c r="N168" s="6"/>
      <c r="O168" s="6"/>
      <c r="P168" s="6"/>
      <c r="Q168" s="6"/>
      <c r="R168" s="6"/>
      <c r="S168" s="6"/>
      <c r="T168" s="6"/>
      <c r="U168" s="6"/>
      <c r="V168" s="6"/>
      <c r="W168" s="6"/>
      <c r="X168" s="6"/>
      <c r="Y168" s="6"/>
      <c r="Z168" s="6"/>
      <c r="AA168" s="6"/>
      <c r="AB168" s="6"/>
      <c r="AC168" s="6"/>
      <c r="AD168" s="6"/>
      <c r="AE168" s="6"/>
    </row>
    <row r="169" spans="9:31" x14ac:dyDescent="0.25">
      <c r="I169" s="6"/>
      <c r="J169" s="6"/>
      <c r="K169" s="6"/>
      <c r="L169" s="6"/>
      <c r="M169" s="6"/>
      <c r="N169" s="6"/>
      <c r="O169" s="6"/>
      <c r="P169" s="6"/>
      <c r="Q169" s="6"/>
      <c r="R169" s="6"/>
      <c r="S169" s="6"/>
      <c r="T169" s="6"/>
      <c r="U169" s="6"/>
      <c r="V169" s="6"/>
      <c r="W169" s="6"/>
      <c r="X169" s="6"/>
      <c r="Y169" s="6"/>
      <c r="Z169" s="6"/>
      <c r="AA169" s="6"/>
      <c r="AB169" s="6"/>
      <c r="AC169" s="6"/>
      <c r="AD169" s="6"/>
      <c r="AE169" s="6"/>
    </row>
    <row r="170" spans="9:31" x14ac:dyDescent="0.25">
      <c r="I170" s="6"/>
      <c r="J170" s="6"/>
      <c r="K170" s="6"/>
      <c r="L170" s="6"/>
      <c r="M170" s="6"/>
      <c r="N170" s="6"/>
      <c r="O170" s="6"/>
      <c r="P170" s="6"/>
      <c r="Q170" s="6"/>
      <c r="R170" s="6"/>
      <c r="S170" s="6"/>
      <c r="T170" s="6"/>
      <c r="U170" s="6"/>
      <c r="V170" s="6"/>
      <c r="W170" s="6"/>
      <c r="X170" s="6"/>
      <c r="Y170" s="6"/>
      <c r="Z170" s="6"/>
      <c r="AA170" s="6"/>
      <c r="AB170" s="6"/>
      <c r="AC170" s="6"/>
      <c r="AD170" s="6"/>
      <c r="AE170" s="6"/>
    </row>
    <row r="171" spans="9:31" x14ac:dyDescent="0.25">
      <c r="I171" s="6"/>
      <c r="J171" s="6"/>
      <c r="K171" s="6"/>
      <c r="L171" s="6"/>
      <c r="M171" s="6"/>
      <c r="N171" s="6"/>
      <c r="O171" s="6"/>
      <c r="P171" s="6"/>
      <c r="Q171" s="6"/>
      <c r="R171" s="6"/>
      <c r="S171" s="6"/>
      <c r="T171" s="6"/>
      <c r="U171" s="6"/>
      <c r="V171" s="6"/>
      <c r="W171" s="6"/>
      <c r="X171" s="6"/>
      <c r="Y171" s="6"/>
      <c r="Z171" s="6"/>
      <c r="AA171" s="6"/>
      <c r="AB171" s="6"/>
      <c r="AC171" s="6"/>
      <c r="AD171" s="6"/>
      <c r="AE171" s="6"/>
    </row>
    <row r="172" spans="9:31" x14ac:dyDescent="0.25">
      <c r="I172" s="6"/>
      <c r="J172" s="6"/>
      <c r="K172" s="6"/>
      <c r="L172" s="6"/>
      <c r="M172" s="6"/>
      <c r="N172" s="6"/>
      <c r="O172" s="6"/>
      <c r="P172" s="6"/>
      <c r="Q172" s="6"/>
      <c r="R172" s="6"/>
      <c r="S172" s="6"/>
      <c r="T172" s="6"/>
      <c r="U172" s="6"/>
      <c r="V172" s="6"/>
      <c r="W172" s="6"/>
      <c r="X172" s="6"/>
      <c r="Y172" s="6"/>
      <c r="Z172" s="6"/>
      <c r="AA172" s="6"/>
      <c r="AB172" s="6"/>
      <c r="AC172" s="6"/>
      <c r="AD172" s="6"/>
      <c r="AE172" s="6"/>
    </row>
    <row r="173" spans="9:31" x14ac:dyDescent="0.25">
      <c r="I173" s="6"/>
      <c r="J173" s="6"/>
      <c r="K173" s="6"/>
      <c r="L173" s="6"/>
      <c r="M173" s="6"/>
      <c r="N173" s="6"/>
      <c r="O173" s="6"/>
      <c r="P173" s="6"/>
      <c r="Q173" s="6"/>
      <c r="R173" s="6"/>
      <c r="S173" s="6"/>
      <c r="T173" s="6"/>
      <c r="U173" s="6"/>
      <c r="V173" s="6"/>
      <c r="W173" s="6"/>
      <c r="X173" s="6"/>
      <c r="Y173" s="6"/>
      <c r="Z173" s="6"/>
      <c r="AA173" s="6"/>
      <c r="AB173" s="6"/>
      <c r="AC173" s="6"/>
      <c r="AD173" s="6"/>
      <c r="AE173" s="6"/>
    </row>
    <row r="174" spans="9:31" x14ac:dyDescent="0.25">
      <c r="I174" s="6"/>
      <c r="J174" s="6"/>
      <c r="K174" s="6"/>
      <c r="L174" s="6"/>
      <c r="M174" s="6"/>
      <c r="N174" s="6"/>
      <c r="O174" s="6"/>
      <c r="P174" s="6"/>
      <c r="Q174" s="6"/>
      <c r="R174" s="6"/>
      <c r="S174" s="6"/>
      <c r="T174" s="6"/>
      <c r="U174" s="6"/>
      <c r="V174" s="6"/>
      <c r="W174" s="6"/>
      <c r="X174" s="6"/>
      <c r="Y174" s="6"/>
      <c r="Z174" s="6"/>
      <c r="AA174" s="6"/>
      <c r="AB174" s="6"/>
      <c r="AC174" s="6"/>
      <c r="AD174" s="6"/>
      <c r="AE174" s="6"/>
    </row>
    <row r="175" spans="9:31" x14ac:dyDescent="0.25">
      <c r="I175" s="6"/>
      <c r="J175" s="6"/>
      <c r="K175" s="6"/>
      <c r="L175" s="6"/>
      <c r="M175" s="6"/>
      <c r="N175" s="6"/>
      <c r="O175" s="6"/>
      <c r="P175" s="6"/>
      <c r="Q175" s="6"/>
      <c r="R175" s="6"/>
      <c r="S175" s="6"/>
      <c r="T175" s="6"/>
      <c r="U175" s="6"/>
      <c r="V175" s="6"/>
      <c r="W175" s="6"/>
      <c r="X175" s="6"/>
      <c r="Y175" s="6"/>
      <c r="Z175" s="6"/>
      <c r="AA175" s="6"/>
      <c r="AB175" s="6"/>
      <c r="AC175" s="6"/>
      <c r="AD175" s="6"/>
      <c r="AE175" s="6"/>
    </row>
    <row r="176" spans="9:31" x14ac:dyDescent="0.25">
      <c r="I176" s="6"/>
      <c r="J176" s="6"/>
      <c r="K176" s="6"/>
      <c r="L176" s="6"/>
      <c r="M176" s="6"/>
      <c r="N176" s="6"/>
      <c r="O176" s="6"/>
      <c r="P176" s="6"/>
      <c r="Q176" s="6"/>
      <c r="R176" s="6"/>
      <c r="S176" s="6"/>
      <c r="T176" s="6"/>
      <c r="U176" s="6"/>
      <c r="V176" s="6"/>
      <c r="W176" s="6"/>
      <c r="X176" s="6"/>
      <c r="Y176" s="6"/>
      <c r="Z176" s="6"/>
      <c r="AA176" s="6"/>
      <c r="AB176" s="6"/>
      <c r="AC176" s="6"/>
      <c r="AD176" s="6"/>
      <c r="AE176" s="6"/>
    </row>
    <row r="177" spans="9:31" x14ac:dyDescent="0.25">
      <c r="I177" s="6"/>
      <c r="J177" s="6"/>
      <c r="K177" s="6"/>
      <c r="L177" s="6"/>
      <c r="M177" s="6"/>
      <c r="N177" s="6"/>
      <c r="O177" s="6"/>
      <c r="P177" s="6"/>
      <c r="Q177" s="6"/>
      <c r="R177" s="6"/>
      <c r="S177" s="6"/>
      <c r="T177" s="6"/>
      <c r="U177" s="6"/>
      <c r="V177" s="6"/>
      <c r="W177" s="6"/>
      <c r="X177" s="6"/>
      <c r="Y177" s="6"/>
      <c r="Z177" s="6"/>
      <c r="AA177" s="6"/>
      <c r="AB177" s="6"/>
      <c r="AC177" s="6"/>
      <c r="AD177" s="6"/>
      <c r="AE177" s="6"/>
    </row>
    <row r="178" spans="9:31" x14ac:dyDescent="0.25">
      <c r="I178" s="6"/>
      <c r="J178" s="6"/>
      <c r="K178" s="6"/>
      <c r="L178" s="6"/>
      <c r="M178" s="6"/>
      <c r="N178" s="6"/>
      <c r="O178" s="6"/>
      <c r="P178" s="6"/>
      <c r="Q178" s="6"/>
      <c r="R178" s="6"/>
      <c r="S178" s="6"/>
      <c r="T178" s="6"/>
      <c r="U178" s="6"/>
      <c r="V178" s="6"/>
      <c r="W178" s="6"/>
      <c r="X178" s="6"/>
      <c r="Y178" s="6"/>
      <c r="Z178" s="6"/>
      <c r="AA178" s="6"/>
      <c r="AB178" s="6"/>
      <c r="AC178" s="6"/>
      <c r="AD178" s="6"/>
      <c r="AE178" s="6"/>
    </row>
    <row r="179" spans="9:31" x14ac:dyDescent="0.25">
      <c r="I179" s="6"/>
      <c r="J179" s="6"/>
      <c r="K179" s="6"/>
      <c r="L179" s="6"/>
      <c r="M179" s="6"/>
      <c r="N179" s="6"/>
      <c r="O179" s="6"/>
      <c r="P179" s="6"/>
      <c r="Q179" s="6"/>
      <c r="R179" s="6"/>
      <c r="S179" s="6"/>
      <c r="T179" s="6"/>
      <c r="U179" s="6"/>
      <c r="V179" s="6"/>
      <c r="W179" s="6"/>
      <c r="X179" s="6"/>
      <c r="Y179" s="6"/>
      <c r="Z179" s="6"/>
      <c r="AA179" s="6"/>
      <c r="AB179" s="6"/>
      <c r="AC179" s="6"/>
      <c r="AD179" s="6"/>
      <c r="AE179" s="6"/>
    </row>
    <row r="180" spans="9:31" x14ac:dyDescent="0.25">
      <c r="I180" s="6"/>
      <c r="J180" s="6"/>
      <c r="K180" s="6"/>
      <c r="L180" s="6"/>
      <c r="M180" s="6"/>
      <c r="N180" s="6"/>
      <c r="O180" s="6"/>
      <c r="P180" s="6"/>
      <c r="Q180" s="6"/>
      <c r="R180" s="6"/>
      <c r="S180" s="6"/>
      <c r="T180" s="6"/>
      <c r="U180" s="6"/>
      <c r="V180" s="6"/>
      <c r="W180" s="6"/>
      <c r="X180" s="6"/>
      <c r="Y180" s="6"/>
      <c r="Z180" s="6"/>
      <c r="AA180" s="6"/>
      <c r="AB180" s="6"/>
      <c r="AC180" s="6"/>
      <c r="AD180" s="6"/>
      <c r="AE180" s="6"/>
    </row>
    <row r="181" spans="9:31" x14ac:dyDescent="0.25">
      <c r="I181" s="6"/>
      <c r="J181" s="6"/>
      <c r="K181" s="6"/>
      <c r="L181" s="6"/>
      <c r="M181" s="6"/>
      <c r="N181" s="6"/>
      <c r="O181" s="6"/>
      <c r="P181" s="6"/>
      <c r="Q181" s="6"/>
      <c r="R181" s="6"/>
      <c r="S181" s="6"/>
      <c r="T181" s="6"/>
      <c r="U181" s="6"/>
      <c r="V181" s="6"/>
      <c r="W181" s="6"/>
      <c r="X181" s="6"/>
      <c r="Y181" s="6"/>
      <c r="Z181" s="6"/>
      <c r="AA181" s="6"/>
      <c r="AB181" s="6"/>
      <c r="AC181" s="6"/>
      <c r="AD181" s="6"/>
      <c r="AE181" s="6"/>
    </row>
    <row r="182" spans="9:31" x14ac:dyDescent="0.25">
      <c r="I182" s="6"/>
      <c r="J182" s="6"/>
      <c r="K182" s="6"/>
      <c r="L182" s="6"/>
      <c r="M182" s="6"/>
      <c r="N182" s="6"/>
      <c r="O182" s="6"/>
      <c r="P182" s="6"/>
      <c r="Q182" s="6"/>
      <c r="R182" s="6"/>
      <c r="S182" s="6"/>
      <c r="T182" s="6"/>
      <c r="U182" s="6"/>
      <c r="V182" s="6"/>
      <c r="W182" s="6"/>
      <c r="X182" s="6"/>
      <c r="Y182" s="6"/>
      <c r="Z182" s="6"/>
      <c r="AA182" s="6"/>
      <c r="AB182" s="6"/>
      <c r="AC182" s="6"/>
      <c r="AD182" s="6"/>
      <c r="AE182" s="6"/>
    </row>
    <row r="183" spans="9:31" x14ac:dyDescent="0.25">
      <c r="I183" s="6"/>
      <c r="J183" s="6"/>
      <c r="K183" s="6"/>
      <c r="L183" s="6"/>
      <c r="M183" s="6"/>
      <c r="N183" s="6"/>
      <c r="O183" s="6"/>
      <c r="P183" s="6"/>
      <c r="Q183" s="6"/>
      <c r="R183" s="6"/>
      <c r="S183" s="6"/>
      <c r="T183" s="6"/>
      <c r="U183" s="6"/>
      <c r="V183" s="6"/>
      <c r="W183" s="6"/>
      <c r="X183" s="6"/>
      <c r="Y183" s="6"/>
      <c r="Z183" s="6"/>
      <c r="AA183" s="6"/>
      <c r="AB183" s="6"/>
      <c r="AC183" s="6"/>
      <c r="AD183" s="6"/>
      <c r="AE183" s="6"/>
    </row>
    <row r="184" spans="9:31" x14ac:dyDescent="0.25">
      <c r="I184" s="6"/>
      <c r="J184" s="6"/>
      <c r="K184" s="6"/>
      <c r="L184" s="6"/>
      <c r="M184" s="6"/>
      <c r="N184" s="6"/>
      <c r="O184" s="6"/>
      <c r="P184" s="6"/>
      <c r="Q184" s="6"/>
      <c r="R184" s="6"/>
      <c r="S184" s="6"/>
      <c r="T184" s="6"/>
      <c r="U184" s="6"/>
      <c r="V184" s="6"/>
      <c r="W184" s="6"/>
      <c r="X184" s="6"/>
      <c r="Y184" s="6"/>
      <c r="Z184" s="6"/>
      <c r="AA184" s="6"/>
      <c r="AB184" s="6"/>
      <c r="AC184" s="6"/>
      <c r="AD184" s="6"/>
      <c r="AE184" s="6"/>
    </row>
    <row r="185" spans="9:31" x14ac:dyDescent="0.25">
      <c r="I185" s="6"/>
      <c r="J185" s="6"/>
      <c r="K185" s="6"/>
      <c r="L185" s="6"/>
      <c r="M185" s="6"/>
      <c r="N185" s="6"/>
      <c r="O185" s="6"/>
      <c r="P185" s="6"/>
      <c r="Q185" s="6"/>
      <c r="R185" s="6"/>
      <c r="S185" s="6"/>
      <c r="T185" s="6"/>
      <c r="U185" s="6"/>
      <c r="V185" s="6"/>
      <c r="W185" s="6"/>
      <c r="X185" s="6"/>
      <c r="Y185" s="6"/>
      <c r="Z185" s="6"/>
      <c r="AA185" s="6"/>
      <c r="AB185" s="6"/>
      <c r="AC185" s="6"/>
      <c r="AD185" s="6"/>
      <c r="AE185" s="6"/>
    </row>
    <row r="186" spans="9:31" x14ac:dyDescent="0.25">
      <c r="I186" s="6"/>
      <c r="J186" s="6"/>
      <c r="K186" s="6"/>
      <c r="L186" s="6"/>
      <c r="M186" s="6"/>
      <c r="N186" s="6"/>
      <c r="O186" s="6"/>
      <c r="P186" s="6"/>
      <c r="Q186" s="6"/>
      <c r="R186" s="6"/>
      <c r="S186" s="6"/>
      <c r="T186" s="6"/>
      <c r="U186" s="6"/>
      <c r="V186" s="6"/>
      <c r="W186" s="6"/>
      <c r="X186" s="6"/>
      <c r="Y186" s="6"/>
      <c r="Z186" s="6"/>
      <c r="AA186" s="6"/>
      <c r="AB186" s="6"/>
      <c r="AC186" s="6"/>
      <c r="AD186" s="6"/>
      <c r="AE186" s="6"/>
    </row>
    <row r="187" spans="9:31" x14ac:dyDescent="0.25">
      <c r="I187" s="6"/>
      <c r="J187" s="6"/>
      <c r="K187" s="6"/>
      <c r="L187" s="6"/>
      <c r="M187" s="6"/>
      <c r="N187" s="6"/>
      <c r="O187" s="6"/>
      <c r="P187" s="6"/>
      <c r="Q187" s="6"/>
      <c r="R187" s="6"/>
      <c r="S187" s="6"/>
      <c r="T187" s="6"/>
      <c r="U187" s="6"/>
      <c r="V187" s="6"/>
      <c r="W187" s="6"/>
      <c r="X187" s="6"/>
      <c r="Y187" s="6"/>
      <c r="Z187" s="6"/>
      <c r="AA187" s="6"/>
      <c r="AB187" s="6"/>
      <c r="AC187" s="6"/>
      <c r="AD187" s="6"/>
      <c r="AE187" s="6"/>
    </row>
    <row r="188" spans="9:31" x14ac:dyDescent="0.25">
      <c r="I188" s="6"/>
      <c r="J188" s="6"/>
      <c r="K188" s="6"/>
      <c r="L188" s="6"/>
      <c r="M188" s="6"/>
      <c r="N188" s="6"/>
      <c r="O188" s="6"/>
      <c r="P188" s="6"/>
      <c r="Q188" s="6"/>
      <c r="R188" s="6"/>
      <c r="S188" s="6"/>
      <c r="T188" s="6"/>
      <c r="U188" s="6"/>
      <c r="V188" s="6"/>
      <c r="W188" s="6"/>
      <c r="X188" s="6"/>
      <c r="Y188" s="6"/>
      <c r="Z188" s="6"/>
      <c r="AA188" s="6"/>
      <c r="AB188" s="6"/>
      <c r="AC188" s="6"/>
      <c r="AD188" s="6"/>
      <c r="AE188" s="6"/>
    </row>
    <row r="189" spans="9:31" x14ac:dyDescent="0.25">
      <c r="I189" s="6"/>
      <c r="J189" s="6"/>
      <c r="K189" s="6"/>
      <c r="L189" s="6"/>
      <c r="M189" s="6"/>
      <c r="N189" s="6"/>
      <c r="O189" s="6"/>
      <c r="P189" s="6"/>
      <c r="Q189" s="6"/>
      <c r="R189" s="6"/>
      <c r="S189" s="6"/>
      <c r="T189" s="6"/>
      <c r="U189" s="6"/>
      <c r="V189" s="6"/>
      <c r="W189" s="6"/>
      <c r="X189" s="6"/>
      <c r="Y189" s="6"/>
      <c r="Z189" s="6"/>
      <c r="AA189" s="6"/>
      <c r="AB189" s="6"/>
      <c r="AC189" s="6"/>
      <c r="AD189" s="6"/>
      <c r="AE189" s="6"/>
    </row>
    <row r="190" spans="9:31" x14ac:dyDescent="0.25">
      <c r="I190" s="6"/>
      <c r="J190" s="6"/>
      <c r="K190" s="6"/>
      <c r="L190" s="6"/>
      <c r="M190" s="6"/>
      <c r="N190" s="6"/>
      <c r="O190" s="6"/>
      <c r="P190" s="6"/>
      <c r="Q190" s="6"/>
      <c r="R190" s="6"/>
      <c r="S190" s="6"/>
      <c r="T190" s="6"/>
      <c r="U190" s="6"/>
      <c r="V190" s="6"/>
      <c r="W190" s="6"/>
      <c r="X190" s="6"/>
      <c r="Y190" s="6"/>
      <c r="Z190" s="6"/>
      <c r="AA190" s="6"/>
      <c r="AB190" s="6"/>
    </row>
    <row r="191" spans="9:31" x14ac:dyDescent="0.25">
      <c r="I191" s="6"/>
      <c r="J191" s="6"/>
      <c r="K191" s="6"/>
      <c r="L191" s="6"/>
      <c r="M191" s="6"/>
      <c r="N191" s="6"/>
      <c r="O191" s="6"/>
      <c r="P191" s="6"/>
      <c r="Q191" s="6"/>
      <c r="R191" s="6"/>
      <c r="S191" s="6"/>
      <c r="T191" s="6"/>
      <c r="U191" s="6"/>
      <c r="V191" s="6"/>
      <c r="W191" s="6"/>
      <c r="X191" s="6"/>
      <c r="Y191" s="6"/>
      <c r="Z191" s="6"/>
      <c r="AA191" s="6"/>
      <c r="AB191" s="6"/>
    </row>
  </sheetData>
  <mergeCells count="20">
    <mergeCell ref="A4:A11"/>
    <mergeCell ref="Q28:U28"/>
    <mergeCell ref="J28:N28"/>
    <mergeCell ref="S15:T15"/>
    <mergeCell ref="M15:O15"/>
    <mergeCell ref="D15:E15"/>
    <mergeCell ref="B15:C15"/>
    <mergeCell ref="B14:F14"/>
    <mergeCell ref="G15:J15"/>
    <mergeCell ref="G14:R14"/>
    <mergeCell ref="X28:AB28"/>
    <mergeCell ref="X37:AB37"/>
    <mergeCell ref="I2:I3"/>
    <mergeCell ref="K2:L2"/>
    <mergeCell ref="K3:L3"/>
    <mergeCell ref="W2:X2"/>
    <mergeCell ref="J37:N37"/>
    <mergeCell ref="Q37:U37"/>
    <mergeCell ref="S14:U14"/>
    <mergeCell ref="K15:L15"/>
  </mergeCells>
  <dataValidations disablePrompts="1" count="1">
    <dataValidation type="list" allowBlank="1" showInputMessage="1" showErrorMessage="1" sqref="I37">
      <formula1>$B$5:$B$9</formula1>
    </dataValidation>
  </dataValidations>
  <hyperlinks>
    <hyperlink ref="K2" location="'Synthèse CO2'!A1" display="vers Synthèse CO2"/>
    <hyperlink ref="B16" location="'ADO-1'!A1" display="ADO-1"/>
    <hyperlink ref="B17" location="'ADO-2'!A1" display="ADO-2"/>
    <hyperlink ref="B18" location="'ADO-3'!A1" display="'ADO-3'!A1"/>
    <hyperlink ref="B19" location="'ADO-4'!A1" display="'ADO-4'!A1"/>
    <hyperlink ref="F16" location="'ADO-40'!A1" display="ADO-40"/>
    <hyperlink ref="F17" location="'ADO-41'!A1" display="ADO-41"/>
    <hyperlink ref="D16" location="'ADO-20'!A1" display="ADO-20"/>
    <hyperlink ref="B20" location="'ADO-5'!A1" display="ADO-5"/>
    <hyperlink ref="G16" location="'ADU-1'!A1" display="ADU-1"/>
    <hyperlink ref="G17" location="'ADU-2'!A1" display="'ADU-2'!A1"/>
    <hyperlink ref="G18" location="'ADU-3'!A1" display="ADU-3"/>
    <hyperlink ref="I16" location="'ADU-21'!A1" display="ADU-21"/>
    <hyperlink ref="K3:L3" location="CALENDRIER!A1" display="Lien vers CALENDRIER"/>
    <hyperlink ref="B21:B22" location="'ADO-11'!A1" display="'ADO-11'!A1"/>
    <hyperlink ref="B21" location="'ADO-6'!A1" display="ADO-6"/>
    <hyperlink ref="S16" location="'ADA-1'!A1" display="ADA-1"/>
    <hyperlink ref="S17" location="'ADA-2'!A1" display="ADA-2"/>
    <hyperlink ref="S18" location="'ADA-3'!A1" display="ADA-3"/>
    <hyperlink ref="S19" location="'ADA-4'!A1" display="ADA-4"/>
    <hyperlink ref="S20" location="'ADA-5'!A1" display="ADA-5"/>
    <hyperlink ref="S21" location="'ADA-6'!A1" display="ADA-6"/>
    <hyperlink ref="S22" location="'ADA-7'!A1" display="ADA-7"/>
    <hyperlink ref="S23" location="'ADA-8'!A1" display="ADA-8"/>
    <hyperlink ref="S24" location="'ADA-9'!A1" display="ADA-9"/>
    <hyperlink ref="S25" location="'ADA-10'!A1" display="ADA-10"/>
    <hyperlink ref="T16" location="'ADA-11'!A1" display="ADA-11"/>
    <hyperlink ref="T17" location="'ADA-12'!A1" display="ADA-12"/>
    <hyperlink ref="T18" location="'ADA-13'!A1" display="ADA-13"/>
    <hyperlink ref="U16" location="'ADA-20'!A1" display="ADA-20"/>
    <hyperlink ref="D17:D24" location="'ADO-7'!A1" display="'ADO-7'!A1"/>
    <hyperlink ref="D17" location="'ADO-21'!A1" display="ADO-21"/>
    <hyperlink ref="D18" location="'ADO-22'!A1" display="ADO-22"/>
    <hyperlink ref="D19" location="'ADO-23'!A1" display="ADO-23"/>
    <hyperlink ref="D20" location="'ADO-24'!A1" display="ADO-24"/>
    <hyperlink ref="D21" location="'ADO-25'!A1" display="ADO-25"/>
    <hyperlink ref="D22" location="'ADO-26'!A1" display="ADO-26"/>
    <hyperlink ref="D23" location="'ADO-27'!A1" display="ADO-27"/>
    <hyperlink ref="D24" location="'ADO-28'!A1" display="ADO-28"/>
    <hyperlink ref="G19" location="'ADU-4'!A1" display="ADU-4"/>
    <hyperlink ref="G22" location="'ADU-7'!A1" display="ADU-7"/>
    <hyperlink ref="G25" location="'ADU-10'!A1" display="ADU-10"/>
    <hyperlink ref="G20" location="'ADU-5'!A1" display="ADU-5"/>
    <hyperlink ref="G23" location="'ADU-8'!A1" display="ADU-8"/>
    <hyperlink ref="G21" location="'ADU-6'!A1" display="ADU-6"/>
    <hyperlink ref="G24" location="'ADU-9'!A1" display="ADU-9"/>
    <hyperlink ref="H16" location="'ADU-11'!A1" display="ADU-11"/>
    <hyperlink ref="I17:I19" location="'ADU-21'!A1" display="'ADU-21'!A1"/>
    <hyperlink ref="U17:U19" location="'ADA-14'!A1" display="ADA-14"/>
    <hyperlink ref="H17" location="'ADU-12'!A1" display="ADU-12"/>
    <hyperlink ref="H18" location="'ADU-13'!A1" display="ADU-13"/>
    <hyperlink ref="H19" location="'ADU-14'!A1" display="ADU-14"/>
    <hyperlink ref="H20" location="'ADU-15'!A1" display="ADU-15"/>
    <hyperlink ref="H21" location="'ADU-16'!A1" display="ADU-16"/>
    <hyperlink ref="H22" location="'ADU-17'!A1" display="ADU-17"/>
    <hyperlink ref="H23" location="'ADU-18'!A1" display="ADU-18"/>
    <hyperlink ref="H24" location="'ADU-19'!A1" display="ADU-19"/>
    <hyperlink ref="H25" location="'ADU-20'!A1" display="ADU-20"/>
    <hyperlink ref="I17" location="'ADU-22'!A1" display="ADU-22"/>
    <hyperlink ref="I18" location="'ADU-23'!A1" display="ADU-23"/>
    <hyperlink ref="I19" location="'ADU-24'!A1" display="ADU-24"/>
    <hyperlink ref="K16" location="'ADU-50'!A1" display="ADU-50"/>
    <hyperlink ref="K17" location="'ADU-51'!A1" display="ADU-51"/>
    <hyperlink ref="K18" location="'ADU-52'!A1" display="ADU-52"/>
    <hyperlink ref="K19" location="'ADU-53'!A1" display="ADU-53"/>
    <hyperlink ref="K20" location="'ADU-54'!A1" display="ADU-54"/>
    <hyperlink ref="K21" location="'ADU-55'!A1" display="ADU-55"/>
    <hyperlink ref="K22" location="'ADU-56'!A1" display="ADU-56"/>
    <hyperlink ref="M16" location="'ADU-70'!A1" display="ADU-70"/>
    <hyperlink ref="M17" location="'ADU-71'!A1" display="ADU-71"/>
    <hyperlink ref="M18" location="'ADU-72'!A1" display="ADU-72"/>
    <hyperlink ref="M19" location="'ADU-73'!A1" display="ADU-73"/>
    <hyperlink ref="M20" location="'ADU-74'!A1" display="ADU-74"/>
    <hyperlink ref="M21" location="'ADU-75'!A1" display="ADU-75"/>
    <hyperlink ref="M22" location="'ADU-76'!A1" display="ADU-76"/>
    <hyperlink ref="P16" location="'ADU-100'!A1" display="ADU-100"/>
    <hyperlink ref="N16" location="'ADU-80'!A1" display="ADU-80"/>
    <hyperlink ref="N17" location="'ADU-81'!A1" display="ADU-81"/>
    <hyperlink ref="N18" location="'ADU-82'!A1" display="ADU-82"/>
    <hyperlink ref="O16" location="'ADU-90'!A1" display="ADU-90"/>
    <hyperlink ref="O17" location="'ADU-91'!A1" display="ADU-91"/>
    <hyperlink ref="O18" location="'ADU-92'!A1" display="ADU-92"/>
    <hyperlink ref="P17" location="'ADU-101'!A1" display="ADU-101"/>
    <hyperlink ref="P18" location="'ADU-102'!A1" display="ADU-102"/>
    <hyperlink ref="O19" location="'ADU-93'!A1" display="ADU-93"/>
    <hyperlink ref="Q17" location="'ADU-121'!A1" display="ADU-121"/>
    <hyperlink ref="Q18" location="'ADU-122'!A1" display="ADU-122"/>
    <hyperlink ref="Q19" location="'ADU-123'!A1" display="ADU-123"/>
    <hyperlink ref="Q20" location="'ADU-124'!A1" display="ADU-124"/>
    <hyperlink ref="R16" location="'ADU-140'!A1" display="ADU-140"/>
    <hyperlink ref="U17" location="'ADA-21'!A1" display="ADA-21"/>
    <hyperlink ref="U18" location="'ADA-22'!A1" display="ADA-22"/>
    <hyperlink ref="U19" location="'ADA-23'!A1" display="ADA-23"/>
    <hyperlink ref="J16" location="'ADU-30'!A1" display="ADU-30"/>
    <hyperlink ref="J17" location="'ADU-31'!A1" display="ADU-31"/>
    <hyperlink ref="J18" location="'ADU-32'!A1" display="ADU-32"/>
    <hyperlink ref="J19" location="'ADU-33'!A1" display="ADU-33"/>
    <hyperlink ref="N19" location="'ADU-83'!A1" display="ADU-83"/>
    <hyperlink ref="M23" location="'ADU-77'!A1" display="ADU-77"/>
    <hyperlink ref="B22" location="'ADO-7'!A1" display="ADO-7"/>
    <hyperlink ref="B23" location="'ADO-8'!A1" display="ADO-8"/>
    <hyperlink ref="B24" location="'ADO-9'!A1" display="ADO-9"/>
    <hyperlink ref="D25" location="'ADO-29'!A1" display="ADO-29"/>
    <hyperlink ref="E16" location="'ADO-30'!A1" display="ADO-30"/>
    <hyperlink ref="E17" location="'ADO-31'!A1" display="ADO-31"/>
    <hyperlink ref="E18" location="'ADO-32'!A1" display="ADO-32"/>
    <hyperlink ref="E19" location="'ADO-33'!A1" display="ADO-33"/>
    <hyperlink ref="P19" location="'ADU-103'!A1" display="ADU-103"/>
    <hyperlink ref="I20" location="'ADU-25'!A1" display="ADU-25"/>
    <hyperlink ref="O20" location="'ADU-94'!A1" display="ADU-94"/>
    <hyperlink ref="O21" location="'ADU-95'!A1" display="ADU-95"/>
    <hyperlink ref="L16" location="'ADU-60'!A1" display="ADU-60"/>
    <hyperlink ref="K25" location="'ADU-59'!A1" display="ADU-59"/>
    <hyperlink ref="K24" location="'ADU-58'!A1" display="ADU-58"/>
    <hyperlink ref="K23" location="'ADU-57'!A1" display="ADU-57"/>
    <hyperlink ref="B25" location="'ADO-10'!A1" display="ADO-10"/>
    <hyperlink ref="C16" location="'ADO-11'!A1" display="ADO-11"/>
    <hyperlink ref="E20" location="'ADO-34'!A1" display="ADO-34"/>
    <hyperlink ref="E21" location="'ADO-35'!A1" display="ADO-35"/>
    <hyperlink ref="L17" location="'ADU-61'!A1" display="ADU-61"/>
    <hyperlink ref="E22" location="'ADO-36'!A1" display="ADO-36"/>
    <hyperlink ref="E25" location="'ADO-39'!A1" display="ADO-39"/>
    <hyperlink ref="I21" location="'ADU-26'!A1" display="ADU-26"/>
    <hyperlink ref="I22" location="'ADU-27'!A1" display="ADU-27"/>
    <hyperlink ref="I23" location="'ADU-28'!A1" display="ADU-28"/>
    <hyperlink ref="J20" location="'ADU-34'!A1" display="ADU-34"/>
    <hyperlink ref="J21" location="'ADU-35'!A1" display="ADU-35"/>
    <hyperlink ref="L18" location="'ADU-62'!A1" display="ADU-62"/>
    <hyperlink ref="L19" location="'ADU-63'!A1" display="ADU-63"/>
    <hyperlink ref="L20" location="'ADU-64'!A1" display="ADU-64"/>
    <hyperlink ref="L21" location="'ADU-65'!A1" display="ADU-65"/>
  </hyperlinks>
  <pageMargins left="0.70866141732283472" right="0" top="0.35433070866141736" bottom="0.15748031496062992" header="0.31496062992125984" footer="0.31496062992125984"/>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7" workbookViewId="0">
      <selection activeCell="B14" sqref="B14:E14"/>
    </sheetView>
  </sheetViews>
  <sheetFormatPr baseColWidth="10" defaultColWidth="11.42578125" defaultRowHeight="15"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6.25" x14ac:dyDescent="0.4">
      <c r="A1" s="1001" t="s">
        <v>937</v>
      </c>
      <c r="B1" s="1001"/>
      <c r="C1" s="1001"/>
      <c r="D1" s="1001"/>
      <c r="E1" s="1001"/>
      <c r="F1" s="276"/>
      <c r="G1" s="7"/>
      <c r="H1" s="7"/>
    </row>
    <row r="2" spans="1:28" ht="19.5" customHeight="1" x14ac:dyDescent="0.25">
      <c r="A2" s="412" t="s">
        <v>750</v>
      </c>
      <c r="B2" s="1002" t="s">
        <v>135</v>
      </c>
      <c r="C2" s="1002"/>
      <c r="D2" s="1002"/>
      <c r="E2" s="1002"/>
      <c r="F2" s="7"/>
      <c r="G2" s="986" t="s">
        <v>751</v>
      </c>
      <c r="H2" s="986"/>
    </row>
    <row r="3" spans="1:28" ht="19.5" customHeight="1" x14ac:dyDescent="0.25">
      <c r="A3" s="483" t="s">
        <v>743</v>
      </c>
      <c r="B3" s="987" t="s">
        <v>744</v>
      </c>
      <c r="C3" s="987"/>
      <c r="D3" s="987"/>
      <c r="E3" s="987"/>
      <c r="F3" s="7"/>
      <c r="G3" s="986" t="s">
        <v>752</v>
      </c>
      <c r="H3" s="986"/>
    </row>
    <row r="4" spans="1:28" ht="19.5" customHeight="1" x14ac:dyDescent="0.25">
      <c r="A4" s="482" t="s">
        <v>292</v>
      </c>
      <c r="B4" s="996" t="s">
        <v>37</v>
      </c>
      <c r="C4" s="996"/>
      <c r="D4" s="996"/>
      <c r="E4" s="996"/>
      <c r="F4" s="7"/>
      <c r="G4" s="986" t="s">
        <v>753</v>
      </c>
      <c r="H4" s="986"/>
    </row>
    <row r="5" spans="1:28" ht="19.5" customHeight="1" x14ac:dyDescent="0.25">
      <c r="A5" s="482"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87"/>
      <c r="J7" s="487"/>
      <c r="Z7" s="484"/>
      <c r="AA7" s="485"/>
      <c r="AB7" s="357"/>
    </row>
    <row r="8" spans="1:28" ht="24" customHeight="1" x14ac:dyDescent="0.25">
      <c r="A8" s="491" t="s">
        <v>1</v>
      </c>
      <c r="B8" s="967" t="s">
        <v>874</v>
      </c>
      <c r="C8" s="967"/>
      <c r="D8" s="967"/>
      <c r="E8" s="967"/>
      <c r="G8" s="997" t="s">
        <v>936</v>
      </c>
      <c r="H8" s="6"/>
      <c r="I8" s="6"/>
      <c r="J8" s="6"/>
      <c r="K8" s="6"/>
      <c r="L8" s="6"/>
      <c r="M8" s="6"/>
      <c r="Z8" s="1028" t="s">
        <v>611</v>
      </c>
      <c r="AA8" s="1029"/>
      <c r="AB8" s="357">
        <v>0.26819999999999999</v>
      </c>
    </row>
    <row r="9" spans="1:28" ht="24" customHeight="1" x14ac:dyDescent="0.25">
      <c r="A9" s="491" t="s">
        <v>0</v>
      </c>
      <c r="B9" s="996" t="s">
        <v>875</v>
      </c>
      <c r="C9" s="996"/>
      <c r="D9" s="996"/>
      <c r="E9" s="996"/>
      <c r="G9" s="997"/>
      <c r="H9" s="6"/>
      <c r="I9" s="6"/>
      <c r="J9" s="6"/>
      <c r="K9" s="6"/>
      <c r="L9" s="6"/>
      <c r="M9" s="6"/>
      <c r="Z9" s="1028" t="s">
        <v>612</v>
      </c>
      <c r="AA9" s="1029"/>
      <c r="AB9" s="357">
        <v>3.1300000000000001E-2</v>
      </c>
    </row>
    <row r="10" spans="1:28" ht="69.75" customHeight="1" x14ac:dyDescent="0.25">
      <c r="A10" s="102" t="s">
        <v>2</v>
      </c>
      <c r="B10" s="1008" t="s">
        <v>876</v>
      </c>
      <c r="C10" s="1009"/>
      <c r="D10" s="1009"/>
      <c r="E10" s="1009"/>
      <c r="G10" s="997"/>
      <c r="H10" s="7"/>
      <c r="I10" s="6"/>
      <c r="J10" s="6"/>
      <c r="K10" s="6"/>
      <c r="L10" s="6"/>
      <c r="M10" s="6"/>
      <c r="Z10" s="1028"/>
      <c r="AA10" s="1029"/>
      <c r="AB10" s="357"/>
    </row>
    <row r="11" spans="1:28" ht="27" customHeight="1" x14ac:dyDescent="0.25">
      <c r="A11" s="102" t="s">
        <v>29</v>
      </c>
      <c r="B11" s="1034"/>
      <c r="C11" s="1034"/>
      <c r="D11" s="1034"/>
      <c r="E11" s="1034"/>
      <c r="G11" s="254">
        <v>5000</v>
      </c>
      <c r="H11" s="225" t="s">
        <v>25</v>
      </c>
      <c r="I11" s="6"/>
      <c r="J11" s="6"/>
      <c r="K11" s="6"/>
      <c r="L11" s="6"/>
      <c r="M11" s="6"/>
      <c r="Z11" s="1028" t="s">
        <v>613</v>
      </c>
      <c r="AA11" s="1029"/>
      <c r="AB11" s="357">
        <v>0.26819999999999999</v>
      </c>
    </row>
    <row r="12" spans="1:28" ht="30" customHeight="1" x14ac:dyDescent="0.25">
      <c r="A12" s="102" t="s">
        <v>14</v>
      </c>
      <c r="B12" s="1010" t="s">
        <v>939</v>
      </c>
      <c r="C12" s="1010"/>
      <c r="D12" s="1010"/>
      <c r="E12" s="1010"/>
      <c r="G12" s="225">
        <v>0</v>
      </c>
      <c r="H12" s="225" t="s">
        <v>7</v>
      </c>
      <c r="I12" s="6"/>
      <c r="J12" s="6"/>
      <c r="K12" s="6"/>
      <c r="L12" s="6"/>
      <c r="M12" s="6"/>
      <c r="Z12" s="1028" t="s">
        <v>614</v>
      </c>
      <c r="AA12" s="1029"/>
      <c r="AB12" s="357">
        <v>1.18E-2</v>
      </c>
    </row>
    <row r="13" spans="1:28" ht="30" customHeight="1" x14ac:dyDescent="0.2">
      <c r="A13" s="102" t="s">
        <v>3</v>
      </c>
      <c r="B13" s="1011" t="s">
        <v>943</v>
      </c>
      <c r="C13" s="1011"/>
      <c r="D13" s="1011"/>
      <c r="E13" s="1011"/>
      <c r="Z13" s="1028" t="s">
        <v>615</v>
      </c>
      <c r="AA13" s="1029"/>
      <c r="AB13" s="358">
        <v>0.36854545454545451</v>
      </c>
    </row>
    <row r="14" spans="1:28" ht="30" customHeight="1" x14ac:dyDescent="0.2">
      <c r="A14" s="102" t="s">
        <v>15</v>
      </c>
      <c r="B14" s="1010"/>
      <c r="C14" s="1010"/>
      <c r="D14" s="1010"/>
      <c r="E14" s="1010"/>
      <c r="Z14" s="1028" t="s">
        <v>616</v>
      </c>
      <c r="AA14" s="1029"/>
      <c r="AB14" s="357">
        <v>0.26819999999999999</v>
      </c>
    </row>
    <row r="15" spans="1:28" ht="30" customHeight="1" x14ac:dyDescent="0.2">
      <c r="A15" s="102" t="s">
        <v>4</v>
      </c>
      <c r="B15" s="1010">
        <v>2020</v>
      </c>
      <c r="C15" s="1010"/>
      <c r="D15" s="1010"/>
      <c r="E15" s="1010"/>
      <c r="Z15" s="1028" t="s">
        <v>578</v>
      </c>
      <c r="AA15" s="1029"/>
      <c r="AB15" s="357">
        <v>0.27700000000000002</v>
      </c>
    </row>
    <row r="16" spans="1:28" ht="30" customHeight="1" x14ac:dyDescent="0.2">
      <c r="A16" s="102" t="s">
        <v>5</v>
      </c>
      <c r="B16" s="1010">
        <v>2022</v>
      </c>
      <c r="C16" s="1010"/>
      <c r="D16" s="1010"/>
      <c r="E16" s="1010"/>
      <c r="Z16" s="1028" t="s">
        <v>579</v>
      </c>
      <c r="AA16" s="1029"/>
      <c r="AB16" s="357">
        <v>0.20269999999999999</v>
      </c>
    </row>
    <row r="17" spans="1:9" ht="30" customHeight="1" x14ac:dyDescent="0.25">
      <c r="A17" s="102" t="s">
        <v>6</v>
      </c>
      <c r="B17" s="1000">
        <f>G11</f>
        <v>5000</v>
      </c>
      <c r="C17" s="1000"/>
      <c r="D17" s="1000"/>
      <c r="E17" s="1000"/>
    </row>
    <row r="18" spans="1:9" ht="30" customHeight="1" x14ac:dyDescent="0.25">
      <c r="A18" s="102" t="s">
        <v>7</v>
      </c>
      <c r="B18" s="1000">
        <f>G12</f>
        <v>0</v>
      </c>
      <c r="C18" s="1000"/>
      <c r="D18" s="1000"/>
      <c r="E18" s="1000"/>
    </row>
    <row r="19" spans="1:9" ht="30" customHeight="1" x14ac:dyDescent="0.25">
      <c r="A19" s="99" t="s">
        <v>307</v>
      </c>
      <c r="B19" s="1039"/>
      <c r="C19" s="1040"/>
      <c r="D19" s="1040"/>
      <c r="E19" s="1040"/>
      <c r="G19" s="10"/>
      <c r="H19" s="10"/>
    </row>
    <row r="20" spans="1:9" ht="30" customHeight="1" x14ac:dyDescent="0.25">
      <c r="A20" s="96" t="s">
        <v>306</v>
      </c>
      <c r="B20" s="1041"/>
      <c r="C20" s="1042"/>
      <c r="D20" s="1042"/>
      <c r="E20" s="1042"/>
      <c r="G20" s="10"/>
      <c r="H20" s="10"/>
    </row>
    <row r="21" spans="1:9" ht="30" customHeight="1" x14ac:dyDescent="0.25">
      <c r="A21" s="102" t="s">
        <v>8</v>
      </c>
      <c r="B21" s="1000">
        <v>1</v>
      </c>
      <c r="C21" s="1000"/>
      <c r="D21" s="1000"/>
      <c r="E21" s="1000"/>
      <c r="G21" s="10"/>
      <c r="H21" s="10"/>
    </row>
    <row r="22" spans="1:9" ht="30" customHeight="1" x14ac:dyDescent="0.25">
      <c r="A22" s="102" t="s">
        <v>9</v>
      </c>
      <c r="B22" s="1000"/>
      <c r="C22" s="1000"/>
      <c r="D22" s="1000"/>
      <c r="E22" s="1000"/>
      <c r="G22" s="10"/>
      <c r="H22" s="10"/>
    </row>
    <row r="23" spans="1:9" ht="30" customHeight="1" x14ac:dyDescent="0.25">
      <c r="A23" s="102" t="s">
        <v>301</v>
      </c>
      <c r="B23" s="1016">
        <f>B17/(B21+B22)</f>
        <v>5000</v>
      </c>
      <c r="C23" s="1016"/>
      <c r="D23" s="1016"/>
      <c r="E23" s="1016"/>
      <c r="G23" s="10"/>
      <c r="H23" s="10"/>
    </row>
    <row r="24" spans="1:9" ht="30" customHeight="1" x14ac:dyDescent="0.25">
      <c r="A24" s="102" t="s">
        <v>302</v>
      </c>
      <c r="B24" s="1017">
        <f>(B17-B18)/(B21+B22)</f>
        <v>5000</v>
      </c>
      <c r="C24" s="1017"/>
      <c r="D24" s="1017"/>
      <c r="E24" s="1017"/>
      <c r="G24" s="10"/>
      <c r="H24" s="10"/>
    </row>
    <row r="25" spans="1:9" ht="30" customHeight="1" x14ac:dyDescent="0.25">
      <c r="A25" s="103" t="s">
        <v>305</v>
      </c>
      <c r="B25" s="1018">
        <f>B19*G25/1000</f>
        <v>0</v>
      </c>
      <c r="C25" s="1018"/>
      <c r="D25" s="1018"/>
      <c r="E25" s="1018"/>
      <c r="G25" s="10"/>
      <c r="H25" s="10"/>
    </row>
    <row r="26" spans="1:9" ht="30" customHeight="1" x14ac:dyDescent="0.25">
      <c r="A26" s="104" t="s">
        <v>303</v>
      </c>
      <c r="B26" s="1019">
        <f>B25/'Objectifs CO2'!C11</f>
        <v>0</v>
      </c>
      <c r="C26" s="1019"/>
      <c r="D26" s="1019"/>
      <c r="E26" s="1019"/>
    </row>
    <row r="27" spans="1:9" ht="30" customHeight="1" x14ac:dyDescent="0.25">
      <c r="A27" s="104" t="s">
        <v>304</v>
      </c>
      <c r="B27" s="1020">
        <f>B25/'Objectifs CO2'!C4</f>
        <v>0</v>
      </c>
      <c r="C27" s="1021"/>
      <c r="D27" s="1021"/>
      <c r="E27" s="1021"/>
    </row>
    <row r="28" spans="1:9" ht="30" customHeight="1" x14ac:dyDescent="0.25">
      <c r="A28" s="104"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479" t="s">
        <v>676</v>
      </c>
      <c r="F31" s="6"/>
      <c r="G31" s="6"/>
      <c r="H31" s="6"/>
      <c r="I31" s="6"/>
    </row>
    <row r="32" spans="1:9" ht="23.25" customHeight="1" x14ac:dyDescent="0.25">
      <c r="A32" s="377"/>
      <c r="B32" s="992" t="s">
        <v>677</v>
      </c>
      <c r="C32" s="992"/>
      <c r="D32" s="992"/>
      <c r="E32" s="374"/>
      <c r="F32" s="6"/>
      <c r="G32" s="1004" t="s">
        <v>676</v>
      </c>
      <c r="H32" s="1004"/>
      <c r="I32" s="1004"/>
    </row>
    <row r="33" spans="1:12" ht="23.25" customHeight="1" x14ac:dyDescent="0.25">
      <c r="A33" s="377"/>
      <c r="B33" s="992" t="s">
        <v>678</v>
      </c>
      <c r="C33" s="992"/>
      <c r="D33" s="992"/>
      <c r="E33" s="374"/>
      <c r="F33" s="6"/>
      <c r="G33" s="375">
        <v>3</v>
      </c>
      <c r="H33" s="1004" t="s">
        <v>679</v>
      </c>
      <c r="I33" s="1004"/>
    </row>
    <row r="34" spans="1:12" ht="23.25" customHeight="1" x14ac:dyDescent="0.25">
      <c r="A34" s="377"/>
      <c r="B34" s="992" t="s">
        <v>680</v>
      </c>
      <c r="C34" s="992"/>
      <c r="D34" s="992"/>
      <c r="E34" s="374"/>
      <c r="F34" s="6"/>
      <c r="G34" s="375">
        <v>2</v>
      </c>
      <c r="H34" s="1004" t="s">
        <v>681</v>
      </c>
      <c r="I34" s="1004"/>
    </row>
    <row r="35" spans="1:12" ht="23.25" customHeight="1" x14ac:dyDescent="0.25">
      <c r="A35" s="377"/>
      <c r="B35" s="992" t="s">
        <v>682</v>
      </c>
      <c r="C35" s="992"/>
      <c r="D35" s="992"/>
      <c r="E35" s="374"/>
      <c r="F35" s="6"/>
      <c r="G35" s="375">
        <v>1</v>
      </c>
      <c r="H35" s="1004" t="s">
        <v>683</v>
      </c>
      <c r="I35" s="1004"/>
    </row>
    <row r="36" spans="1:12" ht="23.25" customHeight="1" x14ac:dyDescent="0.25">
      <c r="A36" s="377"/>
      <c r="B36" s="992" t="s">
        <v>684</v>
      </c>
      <c r="C36" s="992"/>
      <c r="D36" s="992"/>
      <c r="E36" s="374"/>
      <c r="F36" s="6"/>
      <c r="G36" s="6"/>
      <c r="H36" s="6"/>
      <c r="I36" s="6"/>
    </row>
    <row r="37" spans="1:12" ht="23.25" customHeight="1" x14ac:dyDescent="0.25">
      <c r="A37" s="377"/>
      <c r="B37" s="992" t="s">
        <v>685</v>
      </c>
      <c r="C37" s="992"/>
      <c r="D37" s="992"/>
      <c r="E37" s="374"/>
      <c r="F37" s="6"/>
      <c r="G37" s="6"/>
      <c r="H37" s="6"/>
      <c r="I37" s="6"/>
    </row>
    <row r="38" spans="1:12" ht="23.25" customHeight="1" x14ac:dyDescent="0.25">
      <c r="A38" s="377"/>
      <c r="B38" s="992" t="s">
        <v>686</v>
      </c>
      <c r="C38" s="992"/>
      <c r="D38" s="992"/>
      <c r="E38" s="374"/>
      <c r="F38" s="6"/>
      <c r="G38" s="6"/>
      <c r="H38" s="6"/>
      <c r="I38" s="6"/>
    </row>
    <row r="39" spans="1:12" ht="23.25" customHeight="1" x14ac:dyDescent="0.25">
      <c r="A39" s="377"/>
      <c r="B39" s="992" t="s">
        <v>687</v>
      </c>
      <c r="C39" s="992"/>
      <c r="D39" s="992"/>
      <c r="E39" s="374"/>
      <c r="F39" s="6"/>
      <c r="G39" s="6"/>
      <c r="H39" s="6"/>
      <c r="I39" s="6"/>
    </row>
    <row r="40" spans="1:12" ht="23.25" customHeight="1" x14ac:dyDescent="0.25">
      <c r="A40" s="377"/>
      <c r="B40" s="992" t="s">
        <v>688</v>
      </c>
      <c r="C40" s="992"/>
      <c r="D40" s="992"/>
      <c r="E40" s="374"/>
      <c r="F40" s="6"/>
      <c r="G40" s="1005" t="s">
        <v>689</v>
      </c>
      <c r="H40" s="1005"/>
      <c r="I40" s="1005"/>
    </row>
    <row r="41" spans="1:12" ht="23.25" customHeight="1" x14ac:dyDescent="0.25">
      <c r="A41" s="377"/>
      <c r="B41" s="992" t="s">
        <v>843</v>
      </c>
      <c r="C41" s="992"/>
      <c r="D41" s="992"/>
      <c r="E41" s="374"/>
      <c r="F41" s="6"/>
      <c r="G41" s="377" t="s">
        <v>690</v>
      </c>
      <c r="H41" s="378" t="s">
        <v>691</v>
      </c>
      <c r="I41" s="377" t="s">
        <v>692</v>
      </c>
    </row>
    <row r="42" spans="1:12" ht="23.25" customHeight="1" x14ac:dyDescent="0.25">
      <c r="A42" s="377"/>
      <c r="B42" s="988" t="s">
        <v>247</v>
      </c>
      <c r="C42" s="988"/>
      <c r="D42" s="988"/>
      <c r="E42" s="376">
        <f>SUM(E32:E40)</f>
        <v>0</v>
      </c>
      <c r="F42" s="6"/>
      <c r="G42" s="377" t="s">
        <v>693</v>
      </c>
      <c r="H42" s="377" t="s">
        <v>694</v>
      </c>
      <c r="I42" s="377" t="s">
        <v>695</v>
      </c>
    </row>
    <row r="43" spans="1:12" ht="23.25" customHeight="1" x14ac:dyDescent="0.25">
      <c r="B43" s="6"/>
      <c r="C43" s="6"/>
      <c r="D43" s="6"/>
      <c r="E43" s="94" t="s">
        <v>730</v>
      </c>
      <c r="F43" s="6"/>
      <c r="G43" s="6"/>
      <c r="H43" s="6"/>
      <c r="I43" s="6"/>
    </row>
    <row r="44" spans="1:12" ht="23.25" customHeight="1" x14ac:dyDescent="0.25">
      <c r="B44" s="989" t="s">
        <v>696</v>
      </c>
      <c r="C44" s="990"/>
      <c r="D44" s="991"/>
      <c r="E44" s="267">
        <v>1</v>
      </c>
      <c r="F44" s="6"/>
      <c r="G44" s="377">
        <v>1</v>
      </c>
      <c r="H44" s="377" t="s">
        <v>697</v>
      </c>
      <c r="I44" s="6"/>
    </row>
    <row r="45" spans="1:12" ht="23.25" customHeight="1"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350" priority="1" operator="containsText" text="Terminé">
      <formula>NOT(ISERROR(SEARCH("Terminé",B5)))</formula>
    </cfRule>
    <cfRule type="containsText" dxfId="349" priority="2" operator="containsText" text="En cours">
      <formula>NOT(ISERROR(SEARCH("En cours",B5)))</formula>
    </cfRule>
    <cfRule type="containsText" dxfId="34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6" workbookViewId="0">
      <selection activeCell="B14" sqref="B14:E14"/>
    </sheetView>
  </sheetViews>
  <sheetFormatPr baseColWidth="10" defaultColWidth="11.42578125" defaultRowHeight="15"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6.25" x14ac:dyDescent="0.4">
      <c r="A1" s="1001" t="s">
        <v>937</v>
      </c>
      <c r="B1" s="1001"/>
      <c r="C1" s="1001"/>
      <c r="D1" s="1001"/>
      <c r="E1" s="1001"/>
      <c r="F1" s="276"/>
      <c r="G1" s="7"/>
      <c r="H1" s="7"/>
    </row>
    <row r="2" spans="1:28" ht="19.5" customHeight="1" x14ac:dyDescent="0.25">
      <c r="A2" s="412" t="s">
        <v>750</v>
      </c>
      <c r="B2" s="1002" t="s">
        <v>244</v>
      </c>
      <c r="C2" s="1002"/>
      <c r="D2" s="1002"/>
      <c r="E2" s="1002"/>
      <c r="F2" s="7"/>
      <c r="G2" s="986" t="s">
        <v>751</v>
      </c>
      <c r="H2" s="986"/>
    </row>
    <row r="3" spans="1:28" ht="19.5" customHeight="1" x14ac:dyDescent="0.25">
      <c r="A3" s="566" t="s">
        <v>743</v>
      </c>
      <c r="B3" s="987" t="s">
        <v>744</v>
      </c>
      <c r="C3" s="987"/>
      <c r="D3" s="987"/>
      <c r="E3" s="987"/>
      <c r="F3" s="7"/>
      <c r="G3" s="986" t="s">
        <v>752</v>
      </c>
      <c r="H3" s="986"/>
    </row>
    <row r="4" spans="1:28" ht="19.5" customHeight="1" x14ac:dyDescent="0.25">
      <c r="A4" s="567" t="s">
        <v>292</v>
      </c>
      <c r="B4" s="996" t="s">
        <v>37</v>
      </c>
      <c r="C4" s="996"/>
      <c r="D4" s="996"/>
      <c r="E4" s="996"/>
      <c r="F4" s="7"/>
      <c r="G4" s="986" t="s">
        <v>753</v>
      </c>
      <c r="H4" s="986"/>
    </row>
    <row r="5" spans="1:28" ht="19.5" customHeight="1" x14ac:dyDescent="0.25">
      <c r="A5" s="567"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572"/>
      <c r="J7" s="572"/>
      <c r="Z7" s="569"/>
      <c r="AA7" s="570"/>
      <c r="AB7" s="357"/>
    </row>
    <row r="8" spans="1:28" ht="24" customHeight="1" x14ac:dyDescent="0.25">
      <c r="A8" s="574" t="s">
        <v>1</v>
      </c>
      <c r="B8" s="967" t="s">
        <v>76</v>
      </c>
      <c r="C8" s="967"/>
      <c r="D8" s="967"/>
      <c r="E8" s="967"/>
      <c r="G8" s="997" t="s">
        <v>936</v>
      </c>
      <c r="H8" s="6"/>
      <c r="I8" s="6"/>
      <c r="J8" s="6"/>
      <c r="K8" s="6"/>
      <c r="L8" s="6"/>
      <c r="M8" s="6"/>
      <c r="Z8" s="1028" t="s">
        <v>611</v>
      </c>
      <c r="AA8" s="1029"/>
      <c r="AB8" s="357">
        <v>0.26819999999999999</v>
      </c>
    </row>
    <row r="9" spans="1:28" ht="24" customHeight="1" x14ac:dyDescent="0.25">
      <c r="A9" s="574" t="s">
        <v>0</v>
      </c>
      <c r="B9" s="996" t="s">
        <v>996</v>
      </c>
      <c r="C9" s="996"/>
      <c r="D9" s="996"/>
      <c r="E9" s="996"/>
      <c r="G9" s="997"/>
      <c r="H9" s="6"/>
      <c r="I9" s="6"/>
      <c r="J9" s="6"/>
      <c r="K9" s="6"/>
      <c r="L9" s="6"/>
      <c r="M9" s="6"/>
      <c r="Z9" s="1028" t="s">
        <v>612</v>
      </c>
      <c r="AA9" s="1029"/>
      <c r="AB9" s="357">
        <v>3.1300000000000001E-2</v>
      </c>
    </row>
    <row r="10" spans="1:28" ht="69.75" customHeight="1" x14ac:dyDescent="0.25">
      <c r="A10" s="102" t="s">
        <v>2</v>
      </c>
      <c r="B10" s="1008" t="s">
        <v>997</v>
      </c>
      <c r="C10" s="1009"/>
      <c r="D10" s="1009"/>
      <c r="E10" s="1009"/>
      <c r="G10" s="997"/>
      <c r="H10" s="7"/>
      <c r="I10" s="6"/>
      <c r="J10" s="6"/>
      <c r="K10" s="6"/>
      <c r="L10" s="6"/>
      <c r="M10" s="6"/>
      <c r="Z10" s="1028"/>
      <c r="AA10" s="1029"/>
      <c r="AB10" s="357"/>
    </row>
    <row r="11" spans="1:28" ht="27" customHeight="1" x14ac:dyDescent="0.25">
      <c r="A11" s="102" t="s">
        <v>29</v>
      </c>
      <c r="B11" s="1034"/>
      <c r="C11" s="1034"/>
      <c r="D11" s="1034"/>
      <c r="E11" s="1034"/>
      <c r="G11" s="254">
        <v>5000</v>
      </c>
      <c r="H11" s="225" t="s">
        <v>25</v>
      </c>
      <c r="I11" s="6"/>
      <c r="J11" s="6"/>
      <c r="K11" s="6"/>
      <c r="L11" s="6"/>
      <c r="M11" s="6"/>
      <c r="Z11" s="1028" t="s">
        <v>613</v>
      </c>
      <c r="AA11" s="1029"/>
      <c r="AB11" s="357">
        <v>0.26819999999999999</v>
      </c>
    </row>
    <row r="12" spans="1:28" ht="30" customHeight="1" x14ac:dyDescent="0.25">
      <c r="A12" s="102" t="s">
        <v>14</v>
      </c>
      <c r="B12" s="1010" t="s">
        <v>939</v>
      </c>
      <c r="C12" s="1010"/>
      <c r="D12" s="1010"/>
      <c r="E12" s="1010"/>
      <c r="G12" s="225">
        <v>0</v>
      </c>
      <c r="H12" s="225" t="s">
        <v>7</v>
      </c>
      <c r="I12" s="6"/>
      <c r="J12" s="6"/>
      <c r="K12" s="6"/>
      <c r="L12" s="6"/>
      <c r="M12" s="6"/>
      <c r="Z12" s="1028" t="s">
        <v>614</v>
      </c>
      <c r="AA12" s="1029"/>
      <c r="AB12" s="357">
        <v>1.18E-2</v>
      </c>
    </row>
    <row r="13" spans="1:28" ht="30" customHeight="1" x14ac:dyDescent="0.2">
      <c r="A13" s="102" t="s">
        <v>3</v>
      </c>
      <c r="B13" s="1011" t="s">
        <v>943</v>
      </c>
      <c r="C13" s="1011"/>
      <c r="D13" s="1011"/>
      <c r="E13" s="1011"/>
      <c r="Z13" s="1028" t="s">
        <v>615</v>
      </c>
      <c r="AA13" s="1029"/>
      <c r="AB13" s="358">
        <v>0.36854545454545451</v>
      </c>
    </row>
    <row r="14" spans="1:28" ht="30" customHeight="1" x14ac:dyDescent="0.2">
      <c r="A14" s="102" t="s">
        <v>15</v>
      </c>
      <c r="B14" s="1010"/>
      <c r="C14" s="1010"/>
      <c r="D14" s="1010"/>
      <c r="E14" s="1010"/>
      <c r="Z14" s="1028" t="s">
        <v>616</v>
      </c>
      <c r="AA14" s="1029"/>
      <c r="AB14" s="357">
        <v>0.26819999999999999</v>
      </c>
    </row>
    <row r="15" spans="1:28" ht="30" customHeight="1" x14ac:dyDescent="0.2">
      <c r="A15" s="102" t="s">
        <v>4</v>
      </c>
      <c r="B15" s="1010">
        <v>2020</v>
      </c>
      <c r="C15" s="1010"/>
      <c r="D15" s="1010"/>
      <c r="E15" s="1010"/>
      <c r="Z15" s="1028" t="s">
        <v>578</v>
      </c>
      <c r="AA15" s="1029"/>
      <c r="AB15" s="357">
        <v>0.27700000000000002</v>
      </c>
    </row>
    <row r="16" spans="1:28" ht="30" customHeight="1" x14ac:dyDescent="0.2">
      <c r="A16" s="102" t="s">
        <v>5</v>
      </c>
      <c r="B16" s="1010">
        <v>2030</v>
      </c>
      <c r="C16" s="1010"/>
      <c r="D16" s="1010"/>
      <c r="E16" s="1010"/>
      <c r="Z16" s="1028" t="s">
        <v>579</v>
      </c>
      <c r="AA16" s="1029"/>
      <c r="AB16" s="357">
        <v>0.20269999999999999</v>
      </c>
    </row>
    <row r="17" spans="1:9" ht="30" customHeight="1" x14ac:dyDescent="0.25">
      <c r="A17" s="102" t="s">
        <v>6</v>
      </c>
      <c r="B17" s="1000">
        <f>G11</f>
        <v>5000</v>
      </c>
      <c r="C17" s="1000"/>
      <c r="D17" s="1000"/>
      <c r="E17" s="1000"/>
    </row>
    <row r="18" spans="1:9" ht="30" customHeight="1" x14ac:dyDescent="0.25">
      <c r="A18" s="102" t="s">
        <v>7</v>
      </c>
      <c r="B18" s="1000">
        <f>G12</f>
        <v>0</v>
      </c>
      <c r="C18" s="1000"/>
      <c r="D18" s="1000"/>
      <c r="E18" s="1000"/>
    </row>
    <row r="19" spans="1:9" ht="30" customHeight="1" x14ac:dyDescent="0.25">
      <c r="A19" s="99" t="s">
        <v>307</v>
      </c>
      <c r="B19" s="1039"/>
      <c r="C19" s="1040"/>
      <c r="D19" s="1040"/>
      <c r="E19" s="1040"/>
      <c r="G19" s="10"/>
      <c r="H19" s="10"/>
    </row>
    <row r="20" spans="1:9" ht="30" customHeight="1" x14ac:dyDescent="0.25">
      <c r="A20" s="96" t="s">
        <v>306</v>
      </c>
      <c r="B20" s="1041"/>
      <c r="C20" s="1042"/>
      <c r="D20" s="1042"/>
      <c r="E20" s="1042"/>
      <c r="G20" s="10"/>
      <c r="H20" s="10"/>
    </row>
    <row r="21" spans="1:9" ht="30" customHeight="1" x14ac:dyDescent="0.25">
      <c r="A21" s="102" t="s">
        <v>8</v>
      </c>
      <c r="B21" s="1000">
        <v>1</v>
      </c>
      <c r="C21" s="1000"/>
      <c r="D21" s="1000"/>
      <c r="E21" s="1000"/>
      <c r="G21" s="10"/>
      <c r="H21" s="10"/>
    </row>
    <row r="22" spans="1:9" ht="30" customHeight="1" x14ac:dyDescent="0.25">
      <c r="A22" s="102" t="s">
        <v>9</v>
      </c>
      <c r="B22" s="1000"/>
      <c r="C22" s="1000"/>
      <c r="D22" s="1000"/>
      <c r="E22" s="1000"/>
      <c r="G22" s="10"/>
      <c r="H22" s="10"/>
    </row>
    <row r="23" spans="1:9" ht="30" customHeight="1" x14ac:dyDescent="0.25">
      <c r="A23" s="102" t="s">
        <v>301</v>
      </c>
      <c r="B23" s="1016">
        <f>B17/(B21+B22)</f>
        <v>5000</v>
      </c>
      <c r="C23" s="1016"/>
      <c r="D23" s="1016"/>
      <c r="E23" s="1016"/>
      <c r="G23" s="10"/>
      <c r="H23" s="10"/>
    </row>
    <row r="24" spans="1:9" ht="30" customHeight="1" x14ac:dyDescent="0.25">
      <c r="A24" s="102" t="s">
        <v>302</v>
      </c>
      <c r="B24" s="1017">
        <f>(B17-B18)/(B21+B22)</f>
        <v>5000</v>
      </c>
      <c r="C24" s="1017"/>
      <c r="D24" s="1017"/>
      <c r="E24" s="1017"/>
      <c r="G24" s="10"/>
      <c r="H24" s="10"/>
    </row>
    <row r="25" spans="1:9" ht="30" customHeight="1" x14ac:dyDescent="0.25">
      <c r="A25" s="103" t="s">
        <v>305</v>
      </c>
      <c r="B25" s="1018">
        <f>B19*G25/1000</f>
        <v>0</v>
      </c>
      <c r="C25" s="1018"/>
      <c r="D25" s="1018"/>
      <c r="E25" s="1018"/>
      <c r="G25" s="10"/>
      <c r="H25" s="10"/>
    </row>
    <row r="26" spans="1:9" ht="30" customHeight="1" x14ac:dyDescent="0.25">
      <c r="A26" s="104" t="s">
        <v>303</v>
      </c>
      <c r="B26" s="1019">
        <f>B25/'Objectifs CO2'!C11</f>
        <v>0</v>
      </c>
      <c r="C26" s="1019"/>
      <c r="D26" s="1019"/>
      <c r="E26" s="1019"/>
    </row>
    <row r="27" spans="1:9" ht="30" customHeight="1" x14ac:dyDescent="0.25">
      <c r="A27" s="104" t="s">
        <v>304</v>
      </c>
      <c r="B27" s="1020">
        <f>B25/'Objectifs CO2'!C4</f>
        <v>0</v>
      </c>
      <c r="C27" s="1021"/>
      <c r="D27" s="1021"/>
      <c r="E27" s="1021"/>
    </row>
    <row r="28" spans="1:9" ht="30" customHeight="1" x14ac:dyDescent="0.25">
      <c r="A28" s="104"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61" t="s">
        <v>676</v>
      </c>
      <c r="F31" s="6"/>
      <c r="G31" s="6"/>
      <c r="H31" s="6"/>
      <c r="I31" s="6"/>
    </row>
    <row r="32" spans="1:9" ht="23.25" customHeight="1" x14ac:dyDescent="0.25">
      <c r="A32" s="377"/>
      <c r="B32" s="992" t="s">
        <v>677</v>
      </c>
      <c r="C32" s="992"/>
      <c r="D32" s="992"/>
      <c r="E32" s="374"/>
      <c r="F32" s="6"/>
      <c r="G32" s="1004" t="s">
        <v>676</v>
      </c>
      <c r="H32" s="1004"/>
      <c r="I32" s="1004"/>
    </row>
    <row r="33" spans="1:12" ht="23.25" customHeight="1" x14ac:dyDescent="0.25">
      <c r="A33" s="377"/>
      <c r="B33" s="992" t="s">
        <v>678</v>
      </c>
      <c r="C33" s="992"/>
      <c r="D33" s="992"/>
      <c r="E33" s="374"/>
      <c r="F33" s="6"/>
      <c r="G33" s="375">
        <v>3</v>
      </c>
      <c r="H33" s="1004" t="s">
        <v>679</v>
      </c>
      <c r="I33" s="1004"/>
    </row>
    <row r="34" spans="1:12" ht="23.25" customHeight="1" x14ac:dyDescent="0.25">
      <c r="A34" s="377"/>
      <c r="B34" s="992" t="s">
        <v>680</v>
      </c>
      <c r="C34" s="992"/>
      <c r="D34" s="992"/>
      <c r="E34" s="374"/>
      <c r="F34" s="6"/>
      <c r="G34" s="375">
        <v>2</v>
      </c>
      <c r="H34" s="1004" t="s">
        <v>681</v>
      </c>
      <c r="I34" s="1004"/>
    </row>
    <row r="35" spans="1:12" ht="23.25" customHeight="1" x14ac:dyDescent="0.25">
      <c r="A35" s="377"/>
      <c r="B35" s="992" t="s">
        <v>682</v>
      </c>
      <c r="C35" s="992"/>
      <c r="D35" s="992"/>
      <c r="E35" s="374"/>
      <c r="F35" s="6"/>
      <c r="G35" s="375">
        <v>1</v>
      </c>
      <c r="H35" s="1004" t="s">
        <v>683</v>
      </c>
      <c r="I35" s="1004"/>
    </row>
    <row r="36" spans="1:12" ht="23.25" customHeight="1" x14ac:dyDescent="0.25">
      <c r="A36" s="377"/>
      <c r="B36" s="992" t="s">
        <v>684</v>
      </c>
      <c r="C36" s="992"/>
      <c r="D36" s="992"/>
      <c r="E36" s="374"/>
      <c r="F36" s="6"/>
      <c r="G36" s="6"/>
      <c r="H36" s="6"/>
      <c r="I36" s="6"/>
    </row>
    <row r="37" spans="1:12" ht="23.25" customHeight="1" x14ac:dyDescent="0.25">
      <c r="A37" s="377"/>
      <c r="B37" s="992" t="s">
        <v>685</v>
      </c>
      <c r="C37" s="992"/>
      <c r="D37" s="992"/>
      <c r="E37" s="374"/>
      <c r="F37" s="6"/>
      <c r="G37" s="6"/>
      <c r="H37" s="6"/>
      <c r="I37" s="6"/>
    </row>
    <row r="38" spans="1:12" ht="23.25" customHeight="1" x14ac:dyDescent="0.25">
      <c r="A38" s="377"/>
      <c r="B38" s="992" t="s">
        <v>686</v>
      </c>
      <c r="C38" s="992"/>
      <c r="D38" s="992"/>
      <c r="E38" s="374"/>
      <c r="F38" s="6"/>
      <c r="G38" s="6"/>
      <c r="H38" s="6"/>
      <c r="I38" s="6"/>
    </row>
    <row r="39" spans="1:12" ht="23.25" customHeight="1" x14ac:dyDescent="0.25">
      <c r="A39" s="377"/>
      <c r="B39" s="992" t="s">
        <v>687</v>
      </c>
      <c r="C39" s="992"/>
      <c r="D39" s="992"/>
      <c r="E39" s="374"/>
      <c r="F39" s="6"/>
      <c r="G39" s="6"/>
      <c r="H39" s="6"/>
      <c r="I39" s="6"/>
    </row>
    <row r="40" spans="1:12" ht="23.25" customHeight="1" x14ac:dyDescent="0.25">
      <c r="A40" s="377"/>
      <c r="B40" s="992" t="s">
        <v>688</v>
      </c>
      <c r="C40" s="992"/>
      <c r="D40" s="992"/>
      <c r="E40" s="374"/>
      <c r="F40" s="6"/>
      <c r="G40" s="1005" t="s">
        <v>689</v>
      </c>
      <c r="H40" s="1005"/>
      <c r="I40" s="1005"/>
    </row>
    <row r="41" spans="1:12" ht="23.25" customHeight="1" x14ac:dyDescent="0.25">
      <c r="A41" s="377"/>
      <c r="B41" s="992" t="s">
        <v>843</v>
      </c>
      <c r="C41" s="992"/>
      <c r="D41" s="992"/>
      <c r="E41" s="374"/>
      <c r="F41" s="6"/>
      <c r="G41" s="377" t="s">
        <v>690</v>
      </c>
      <c r="H41" s="378" t="s">
        <v>691</v>
      </c>
      <c r="I41" s="377" t="s">
        <v>692</v>
      </c>
    </row>
    <row r="42" spans="1:12" ht="23.25" customHeight="1" x14ac:dyDescent="0.25">
      <c r="A42" s="377"/>
      <c r="B42" s="988" t="s">
        <v>247</v>
      </c>
      <c r="C42" s="988"/>
      <c r="D42" s="988"/>
      <c r="E42" s="376">
        <f>SUM(E32:E40)</f>
        <v>0</v>
      </c>
      <c r="F42" s="6"/>
      <c r="G42" s="377" t="s">
        <v>693</v>
      </c>
      <c r="H42" s="377" t="s">
        <v>694</v>
      </c>
      <c r="I42" s="377" t="s">
        <v>695</v>
      </c>
    </row>
    <row r="43" spans="1:12" ht="23.25" customHeight="1" x14ac:dyDescent="0.25">
      <c r="B43" s="6"/>
      <c r="C43" s="6"/>
      <c r="D43" s="6"/>
      <c r="E43" s="94" t="s">
        <v>730</v>
      </c>
      <c r="F43" s="6"/>
      <c r="G43" s="6"/>
      <c r="H43" s="6"/>
      <c r="I43" s="6"/>
    </row>
    <row r="44" spans="1:12" ht="23.25" customHeight="1" x14ac:dyDescent="0.25">
      <c r="B44" s="989" t="s">
        <v>696</v>
      </c>
      <c r="C44" s="990"/>
      <c r="D44" s="991"/>
      <c r="E44" s="267">
        <v>1</v>
      </c>
      <c r="F44" s="6"/>
      <c r="G44" s="377">
        <v>1</v>
      </c>
      <c r="H44" s="377" t="s">
        <v>697</v>
      </c>
      <c r="I44" s="6"/>
    </row>
    <row r="45" spans="1:12" ht="23.25" customHeight="1"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B5:E5"/>
    <mergeCell ref="G5:H5"/>
    <mergeCell ref="Z5:AB5"/>
    <mergeCell ref="B6:E6"/>
    <mergeCell ref="G6:H6"/>
    <mergeCell ref="Z6:AA6"/>
    <mergeCell ref="A1:E1"/>
    <mergeCell ref="B2:E2"/>
    <mergeCell ref="G2:H2"/>
    <mergeCell ref="B3:E3"/>
    <mergeCell ref="G3:H3"/>
    <mergeCell ref="B4:E4"/>
    <mergeCell ref="G4:H4"/>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17:E17"/>
    <mergeCell ref="B18:E18"/>
    <mergeCell ref="B19:E19"/>
    <mergeCell ref="B20:E20"/>
    <mergeCell ref="B21:E21"/>
    <mergeCell ref="B22:E22"/>
    <mergeCell ref="B14:E14"/>
    <mergeCell ref="Z14:AA14"/>
    <mergeCell ref="B15:E15"/>
    <mergeCell ref="Z15:AA15"/>
    <mergeCell ref="B16:E16"/>
    <mergeCell ref="Z16:AA16"/>
    <mergeCell ref="B29:E29"/>
    <mergeCell ref="B31:D31"/>
    <mergeCell ref="B32:D32"/>
    <mergeCell ref="G32:I32"/>
    <mergeCell ref="B33:D33"/>
    <mergeCell ref="H33:I33"/>
    <mergeCell ref="B23:E23"/>
    <mergeCell ref="B24:E24"/>
    <mergeCell ref="B25:E25"/>
    <mergeCell ref="B26:E26"/>
    <mergeCell ref="B27:E27"/>
    <mergeCell ref="B28:E28"/>
    <mergeCell ref="B38:D38"/>
    <mergeCell ref="B39:D39"/>
    <mergeCell ref="B40:D40"/>
    <mergeCell ref="G40:I40"/>
    <mergeCell ref="B41:D41"/>
    <mergeCell ref="B42:D42"/>
    <mergeCell ref="B34:D34"/>
    <mergeCell ref="H34:I34"/>
    <mergeCell ref="B35:D35"/>
    <mergeCell ref="H35:I35"/>
    <mergeCell ref="B36:D36"/>
    <mergeCell ref="B37:D37"/>
    <mergeCell ref="B44:D44"/>
    <mergeCell ref="G46:L46"/>
    <mergeCell ref="A47:A51"/>
    <mergeCell ref="B47:F47"/>
    <mergeCell ref="G47:L47"/>
    <mergeCell ref="B48:F48"/>
    <mergeCell ref="G48:L48"/>
    <mergeCell ref="B49:F49"/>
    <mergeCell ref="G49:L49"/>
    <mergeCell ref="B50:F50"/>
    <mergeCell ref="G50:L50"/>
    <mergeCell ref="B51:F51"/>
    <mergeCell ref="G51:L51"/>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s>
  <conditionalFormatting sqref="B5">
    <cfRule type="containsText" dxfId="347" priority="1" operator="containsText" text="Terminé">
      <formula>NOT(ISERROR(SEARCH("Terminé",B5)))</formula>
    </cfRule>
    <cfRule type="containsText" dxfId="346" priority="2" operator="containsText" text="En cours">
      <formula>NOT(ISERROR(SEARCH("En cours",B5)))</formula>
    </cfRule>
    <cfRule type="containsText" dxfId="34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7" workbookViewId="0">
      <selection activeCell="B14" sqref="B14:E14"/>
    </sheetView>
  </sheetViews>
  <sheetFormatPr baseColWidth="10" defaultColWidth="11.42578125" defaultRowHeight="15"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6.25" x14ac:dyDescent="0.4">
      <c r="A1" s="1001" t="s">
        <v>937</v>
      </c>
      <c r="B1" s="1001"/>
      <c r="C1" s="1001"/>
      <c r="D1" s="1001"/>
      <c r="E1" s="1001"/>
      <c r="F1" s="276"/>
      <c r="G1" s="7"/>
      <c r="H1" s="7"/>
    </row>
    <row r="2" spans="1:28" ht="19.5" customHeight="1" x14ac:dyDescent="0.25">
      <c r="A2" s="412" t="s">
        <v>750</v>
      </c>
      <c r="B2" s="1002" t="s">
        <v>245</v>
      </c>
      <c r="C2" s="1002"/>
      <c r="D2" s="1002"/>
      <c r="E2" s="1002"/>
      <c r="F2" s="7"/>
      <c r="G2" s="986" t="s">
        <v>751</v>
      </c>
      <c r="H2" s="986"/>
    </row>
    <row r="3" spans="1:28" ht="19.5" customHeight="1" x14ac:dyDescent="0.25">
      <c r="A3" s="566" t="s">
        <v>743</v>
      </c>
      <c r="B3" s="987" t="s">
        <v>744</v>
      </c>
      <c r="C3" s="987"/>
      <c r="D3" s="987"/>
      <c r="E3" s="987"/>
      <c r="F3" s="7"/>
      <c r="G3" s="986" t="s">
        <v>752</v>
      </c>
      <c r="H3" s="986"/>
    </row>
    <row r="4" spans="1:28" ht="19.5" customHeight="1" x14ac:dyDescent="0.25">
      <c r="A4" s="567" t="s">
        <v>292</v>
      </c>
      <c r="B4" s="996" t="s">
        <v>37</v>
      </c>
      <c r="C4" s="996"/>
      <c r="D4" s="996"/>
      <c r="E4" s="996"/>
      <c r="F4" s="7"/>
      <c r="G4" s="986" t="s">
        <v>753</v>
      </c>
      <c r="H4" s="986"/>
    </row>
    <row r="5" spans="1:28" ht="19.5" customHeight="1" x14ac:dyDescent="0.25">
      <c r="A5" s="567"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572"/>
      <c r="J7" s="572"/>
      <c r="Z7" s="569"/>
      <c r="AA7" s="570"/>
      <c r="AB7" s="357"/>
    </row>
    <row r="8" spans="1:28" ht="24" customHeight="1" x14ac:dyDescent="0.25">
      <c r="A8" s="574" t="s">
        <v>1</v>
      </c>
      <c r="B8" s="967" t="s">
        <v>32</v>
      </c>
      <c r="C8" s="967"/>
      <c r="D8" s="967"/>
      <c r="E8" s="967"/>
      <c r="G8" s="997" t="s">
        <v>936</v>
      </c>
      <c r="H8" s="6"/>
      <c r="I8" s="6"/>
      <c r="J8" s="6"/>
      <c r="K8" s="6"/>
      <c r="L8" s="6"/>
      <c r="M8" s="6"/>
      <c r="Z8" s="1028" t="s">
        <v>611</v>
      </c>
      <c r="AA8" s="1029"/>
      <c r="AB8" s="357">
        <v>0.26819999999999999</v>
      </c>
    </row>
    <row r="9" spans="1:28" ht="24" customHeight="1" x14ac:dyDescent="0.25">
      <c r="A9" s="574" t="s">
        <v>0</v>
      </c>
      <c r="B9" s="996" t="s">
        <v>998</v>
      </c>
      <c r="C9" s="996"/>
      <c r="D9" s="996"/>
      <c r="E9" s="996"/>
      <c r="G9" s="997"/>
      <c r="H9" s="6"/>
      <c r="I9" s="6"/>
      <c r="J9" s="6"/>
      <c r="K9" s="6"/>
      <c r="L9" s="6"/>
      <c r="M9" s="6"/>
      <c r="Z9" s="1028" t="s">
        <v>612</v>
      </c>
      <c r="AA9" s="1029"/>
      <c r="AB9" s="357">
        <v>3.1300000000000001E-2</v>
      </c>
    </row>
    <row r="10" spans="1:28" ht="69.75" customHeight="1" x14ac:dyDescent="0.25">
      <c r="A10" s="102" t="s">
        <v>2</v>
      </c>
      <c r="B10" s="1008" t="s">
        <v>999</v>
      </c>
      <c r="C10" s="1009"/>
      <c r="D10" s="1009"/>
      <c r="E10" s="1009"/>
      <c r="G10" s="997"/>
      <c r="H10" s="7"/>
      <c r="I10" s="6"/>
      <c r="J10" s="6"/>
      <c r="K10" s="6"/>
      <c r="L10" s="6"/>
      <c r="M10" s="6"/>
      <c r="Z10" s="1028"/>
      <c r="AA10" s="1029"/>
      <c r="AB10" s="357"/>
    </row>
    <row r="11" spans="1:28" ht="27" customHeight="1" x14ac:dyDescent="0.25">
      <c r="A11" s="102" t="s">
        <v>29</v>
      </c>
      <c r="B11" s="1034"/>
      <c r="C11" s="1034"/>
      <c r="D11" s="1034"/>
      <c r="E11" s="1034"/>
      <c r="G11" s="254">
        <v>5000</v>
      </c>
      <c r="H11" s="225" t="s">
        <v>25</v>
      </c>
      <c r="I11" s="6"/>
      <c r="J11" s="6"/>
      <c r="K11" s="6"/>
      <c r="L11" s="6"/>
      <c r="M11" s="6"/>
      <c r="Z11" s="1028" t="s">
        <v>613</v>
      </c>
      <c r="AA11" s="1029"/>
      <c r="AB11" s="357">
        <v>0.26819999999999999</v>
      </c>
    </row>
    <row r="12" spans="1:28" ht="30" customHeight="1" x14ac:dyDescent="0.25">
      <c r="A12" s="102" t="s">
        <v>14</v>
      </c>
      <c r="B12" s="1010" t="s">
        <v>939</v>
      </c>
      <c r="C12" s="1010"/>
      <c r="D12" s="1010"/>
      <c r="E12" s="1010"/>
      <c r="G12" s="225">
        <v>0</v>
      </c>
      <c r="H12" s="225" t="s">
        <v>7</v>
      </c>
      <c r="I12" s="6"/>
      <c r="J12" s="6"/>
      <c r="K12" s="6"/>
      <c r="L12" s="6"/>
      <c r="M12" s="6"/>
      <c r="Z12" s="1028" t="s">
        <v>614</v>
      </c>
      <c r="AA12" s="1029"/>
      <c r="AB12" s="357">
        <v>1.18E-2</v>
      </c>
    </row>
    <row r="13" spans="1:28" ht="30" customHeight="1" x14ac:dyDescent="0.2">
      <c r="A13" s="102" t="s">
        <v>3</v>
      </c>
      <c r="B13" s="1011" t="s">
        <v>943</v>
      </c>
      <c r="C13" s="1011"/>
      <c r="D13" s="1011"/>
      <c r="E13" s="1011"/>
      <c r="Z13" s="1028" t="s">
        <v>615</v>
      </c>
      <c r="AA13" s="1029"/>
      <c r="AB13" s="358">
        <v>0.36854545454545451</v>
      </c>
    </row>
    <row r="14" spans="1:28" ht="30" customHeight="1" x14ac:dyDescent="0.2">
      <c r="A14" s="102" t="s">
        <v>15</v>
      </c>
      <c r="B14" s="1010"/>
      <c r="C14" s="1010"/>
      <c r="D14" s="1010"/>
      <c r="E14" s="1010"/>
      <c r="Z14" s="1028" t="s">
        <v>616</v>
      </c>
      <c r="AA14" s="1029"/>
      <c r="AB14" s="357">
        <v>0.26819999999999999</v>
      </c>
    </row>
    <row r="15" spans="1:28" ht="30" customHeight="1" x14ac:dyDescent="0.2">
      <c r="A15" s="102" t="s">
        <v>4</v>
      </c>
      <c r="B15" s="1010">
        <v>2020</v>
      </c>
      <c r="C15" s="1010"/>
      <c r="D15" s="1010"/>
      <c r="E15" s="1010"/>
      <c r="Z15" s="1028" t="s">
        <v>578</v>
      </c>
      <c r="AA15" s="1029"/>
      <c r="AB15" s="357">
        <v>0.27700000000000002</v>
      </c>
    </row>
    <row r="16" spans="1:28" ht="30" customHeight="1" x14ac:dyDescent="0.2">
      <c r="A16" s="102" t="s">
        <v>5</v>
      </c>
      <c r="B16" s="1010">
        <v>2022</v>
      </c>
      <c r="C16" s="1010"/>
      <c r="D16" s="1010"/>
      <c r="E16" s="1010"/>
      <c r="Z16" s="1028" t="s">
        <v>579</v>
      </c>
      <c r="AA16" s="1029"/>
      <c r="AB16" s="357">
        <v>0.20269999999999999</v>
      </c>
    </row>
    <row r="17" spans="1:9" ht="30" customHeight="1" x14ac:dyDescent="0.25">
      <c r="A17" s="102" t="s">
        <v>6</v>
      </c>
      <c r="B17" s="1000">
        <f>G11</f>
        <v>5000</v>
      </c>
      <c r="C17" s="1000"/>
      <c r="D17" s="1000"/>
      <c r="E17" s="1000"/>
    </row>
    <row r="18" spans="1:9" ht="30" customHeight="1" x14ac:dyDescent="0.25">
      <c r="A18" s="102" t="s">
        <v>7</v>
      </c>
      <c r="B18" s="1000">
        <f>G12</f>
        <v>0</v>
      </c>
      <c r="C18" s="1000"/>
      <c r="D18" s="1000"/>
      <c r="E18" s="1000"/>
    </row>
    <row r="19" spans="1:9" ht="30" customHeight="1" x14ac:dyDescent="0.25">
      <c r="A19" s="99" t="s">
        <v>307</v>
      </c>
      <c r="B19" s="1039"/>
      <c r="C19" s="1040"/>
      <c r="D19" s="1040"/>
      <c r="E19" s="1040"/>
      <c r="G19" s="10"/>
      <c r="H19" s="10"/>
    </row>
    <row r="20" spans="1:9" ht="30" customHeight="1" x14ac:dyDescent="0.25">
      <c r="A20" s="96" t="s">
        <v>306</v>
      </c>
      <c r="B20" s="1041"/>
      <c r="C20" s="1042"/>
      <c r="D20" s="1042"/>
      <c r="E20" s="1042"/>
      <c r="G20" s="10"/>
      <c r="H20" s="10"/>
    </row>
    <row r="21" spans="1:9" ht="30" customHeight="1" x14ac:dyDescent="0.25">
      <c r="A21" s="102" t="s">
        <v>8</v>
      </c>
      <c r="B21" s="1000">
        <v>1</v>
      </c>
      <c r="C21" s="1000"/>
      <c r="D21" s="1000"/>
      <c r="E21" s="1000"/>
      <c r="G21" s="10"/>
      <c r="H21" s="10"/>
    </row>
    <row r="22" spans="1:9" ht="30" customHeight="1" x14ac:dyDescent="0.25">
      <c r="A22" s="102" t="s">
        <v>9</v>
      </c>
      <c r="B22" s="1000"/>
      <c r="C22" s="1000"/>
      <c r="D22" s="1000"/>
      <c r="E22" s="1000"/>
      <c r="G22" s="10"/>
      <c r="H22" s="10"/>
    </row>
    <row r="23" spans="1:9" ht="30" customHeight="1" x14ac:dyDescent="0.25">
      <c r="A23" s="102" t="s">
        <v>301</v>
      </c>
      <c r="B23" s="1016">
        <f>B17/(B21+B22)</f>
        <v>5000</v>
      </c>
      <c r="C23" s="1016"/>
      <c r="D23" s="1016"/>
      <c r="E23" s="1016"/>
      <c r="G23" s="10"/>
      <c r="H23" s="10"/>
    </row>
    <row r="24" spans="1:9" ht="30" customHeight="1" x14ac:dyDescent="0.25">
      <c r="A24" s="102" t="s">
        <v>302</v>
      </c>
      <c r="B24" s="1017">
        <f>(B17-B18)/(B21+B22)</f>
        <v>5000</v>
      </c>
      <c r="C24" s="1017"/>
      <c r="D24" s="1017"/>
      <c r="E24" s="1017"/>
      <c r="G24" s="10"/>
      <c r="H24" s="10"/>
    </row>
    <row r="25" spans="1:9" ht="30" customHeight="1" x14ac:dyDescent="0.25">
      <c r="A25" s="103" t="s">
        <v>305</v>
      </c>
      <c r="B25" s="1018">
        <f>B19*G25/1000</f>
        <v>0</v>
      </c>
      <c r="C25" s="1018"/>
      <c r="D25" s="1018"/>
      <c r="E25" s="1018"/>
      <c r="G25" s="10"/>
      <c r="H25" s="10"/>
    </row>
    <row r="26" spans="1:9" ht="30" customHeight="1" x14ac:dyDescent="0.25">
      <c r="A26" s="104" t="s">
        <v>303</v>
      </c>
      <c r="B26" s="1019">
        <f>B25/'Objectifs CO2'!C11</f>
        <v>0</v>
      </c>
      <c r="C26" s="1019"/>
      <c r="D26" s="1019"/>
      <c r="E26" s="1019"/>
    </row>
    <row r="27" spans="1:9" ht="30" customHeight="1" x14ac:dyDescent="0.25">
      <c r="A27" s="104" t="s">
        <v>304</v>
      </c>
      <c r="B27" s="1020">
        <f>B25/'Objectifs CO2'!C4</f>
        <v>0</v>
      </c>
      <c r="C27" s="1021"/>
      <c r="D27" s="1021"/>
      <c r="E27" s="1021"/>
    </row>
    <row r="28" spans="1:9" ht="30" customHeight="1" x14ac:dyDescent="0.25">
      <c r="A28" s="104"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61" t="s">
        <v>676</v>
      </c>
      <c r="F31" s="6"/>
      <c r="G31" s="6"/>
      <c r="H31" s="6"/>
      <c r="I31" s="6"/>
    </row>
    <row r="32" spans="1:9" ht="23.25" customHeight="1" x14ac:dyDescent="0.25">
      <c r="A32" s="377"/>
      <c r="B32" s="992" t="s">
        <v>677</v>
      </c>
      <c r="C32" s="992"/>
      <c r="D32" s="992"/>
      <c r="E32" s="374"/>
      <c r="F32" s="6"/>
      <c r="G32" s="1004" t="s">
        <v>676</v>
      </c>
      <c r="H32" s="1004"/>
      <c r="I32" s="1004"/>
    </row>
    <row r="33" spans="1:12" ht="23.25" customHeight="1" x14ac:dyDescent="0.25">
      <c r="A33" s="377"/>
      <c r="B33" s="992" t="s">
        <v>678</v>
      </c>
      <c r="C33" s="992"/>
      <c r="D33" s="992"/>
      <c r="E33" s="374"/>
      <c r="F33" s="6"/>
      <c r="G33" s="375">
        <v>3</v>
      </c>
      <c r="H33" s="1004" t="s">
        <v>679</v>
      </c>
      <c r="I33" s="1004"/>
    </row>
    <row r="34" spans="1:12" ht="23.25" customHeight="1" x14ac:dyDescent="0.25">
      <c r="A34" s="377"/>
      <c r="B34" s="992" t="s">
        <v>680</v>
      </c>
      <c r="C34" s="992"/>
      <c r="D34" s="992"/>
      <c r="E34" s="374"/>
      <c r="F34" s="6"/>
      <c r="G34" s="375">
        <v>2</v>
      </c>
      <c r="H34" s="1004" t="s">
        <v>681</v>
      </c>
      <c r="I34" s="1004"/>
    </row>
    <row r="35" spans="1:12" ht="23.25" customHeight="1" x14ac:dyDescent="0.25">
      <c r="A35" s="377"/>
      <c r="B35" s="992" t="s">
        <v>682</v>
      </c>
      <c r="C35" s="992"/>
      <c r="D35" s="992"/>
      <c r="E35" s="374"/>
      <c r="F35" s="6"/>
      <c r="G35" s="375">
        <v>1</v>
      </c>
      <c r="H35" s="1004" t="s">
        <v>683</v>
      </c>
      <c r="I35" s="1004"/>
    </row>
    <row r="36" spans="1:12" ht="23.25" customHeight="1" x14ac:dyDescent="0.25">
      <c r="A36" s="377"/>
      <c r="B36" s="992" t="s">
        <v>684</v>
      </c>
      <c r="C36" s="992"/>
      <c r="D36" s="992"/>
      <c r="E36" s="374"/>
      <c r="F36" s="6"/>
      <c r="G36" s="6"/>
      <c r="H36" s="6"/>
      <c r="I36" s="6"/>
    </row>
    <row r="37" spans="1:12" ht="23.25" customHeight="1" x14ac:dyDescent="0.25">
      <c r="A37" s="377"/>
      <c r="B37" s="992" t="s">
        <v>685</v>
      </c>
      <c r="C37" s="992"/>
      <c r="D37" s="992"/>
      <c r="E37" s="374"/>
      <c r="F37" s="6"/>
      <c r="G37" s="6"/>
      <c r="H37" s="6"/>
      <c r="I37" s="6"/>
    </row>
    <row r="38" spans="1:12" ht="23.25" customHeight="1" x14ac:dyDescent="0.25">
      <c r="A38" s="377"/>
      <c r="B38" s="992" t="s">
        <v>686</v>
      </c>
      <c r="C38" s="992"/>
      <c r="D38" s="992"/>
      <c r="E38" s="374"/>
      <c r="F38" s="6"/>
      <c r="G38" s="6"/>
      <c r="H38" s="6"/>
      <c r="I38" s="6"/>
    </row>
    <row r="39" spans="1:12" ht="23.25" customHeight="1" x14ac:dyDescent="0.25">
      <c r="A39" s="377"/>
      <c r="B39" s="992" t="s">
        <v>687</v>
      </c>
      <c r="C39" s="992"/>
      <c r="D39" s="992"/>
      <c r="E39" s="374"/>
      <c r="F39" s="6"/>
      <c r="G39" s="6"/>
      <c r="H39" s="6"/>
      <c r="I39" s="6"/>
    </row>
    <row r="40" spans="1:12" ht="23.25" customHeight="1" x14ac:dyDescent="0.25">
      <c r="A40" s="377"/>
      <c r="B40" s="992" t="s">
        <v>688</v>
      </c>
      <c r="C40" s="992"/>
      <c r="D40" s="992"/>
      <c r="E40" s="374"/>
      <c r="F40" s="6"/>
      <c r="G40" s="1005" t="s">
        <v>689</v>
      </c>
      <c r="H40" s="1005"/>
      <c r="I40" s="1005"/>
    </row>
    <row r="41" spans="1:12" ht="23.25" customHeight="1" x14ac:dyDescent="0.25">
      <c r="A41" s="377"/>
      <c r="B41" s="992" t="s">
        <v>843</v>
      </c>
      <c r="C41" s="992"/>
      <c r="D41" s="992"/>
      <c r="E41" s="374"/>
      <c r="F41" s="6"/>
      <c r="G41" s="377" t="s">
        <v>690</v>
      </c>
      <c r="H41" s="378" t="s">
        <v>691</v>
      </c>
      <c r="I41" s="377" t="s">
        <v>692</v>
      </c>
    </row>
    <row r="42" spans="1:12" ht="23.25" customHeight="1" x14ac:dyDescent="0.25">
      <c r="A42" s="377"/>
      <c r="B42" s="988" t="s">
        <v>247</v>
      </c>
      <c r="C42" s="988"/>
      <c r="D42" s="988"/>
      <c r="E42" s="376">
        <f>SUM(E32:E40)</f>
        <v>0</v>
      </c>
      <c r="F42" s="6"/>
      <c r="G42" s="377" t="s">
        <v>693</v>
      </c>
      <c r="H42" s="377" t="s">
        <v>694</v>
      </c>
      <c r="I42" s="377" t="s">
        <v>695</v>
      </c>
    </row>
    <row r="43" spans="1:12" ht="23.25" customHeight="1" x14ac:dyDescent="0.25">
      <c r="B43" s="6"/>
      <c r="C43" s="6"/>
      <c r="D43" s="6"/>
      <c r="E43" s="94" t="s">
        <v>730</v>
      </c>
      <c r="F43" s="6"/>
      <c r="G43" s="6"/>
      <c r="H43" s="6"/>
      <c r="I43" s="6"/>
    </row>
    <row r="44" spans="1:12" ht="23.25" customHeight="1" x14ac:dyDescent="0.25">
      <c r="B44" s="989" t="s">
        <v>696</v>
      </c>
      <c r="C44" s="990"/>
      <c r="D44" s="991"/>
      <c r="E44" s="267">
        <v>1</v>
      </c>
      <c r="F44" s="6"/>
      <c r="G44" s="377">
        <v>1</v>
      </c>
      <c r="H44" s="377" t="s">
        <v>697</v>
      </c>
      <c r="I44" s="6"/>
    </row>
    <row r="45" spans="1:12" ht="23.25" customHeight="1"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B5:E5"/>
    <mergeCell ref="G5:H5"/>
    <mergeCell ref="Z5:AB5"/>
    <mergeCell ref="B6:E6"/>
    <mergeCell ref="G6:H6"/>
    <mergeCell ref="Z6:AA6"/>
    <mergeCell ref="A1:E1"/>
    <mergeCell ref="B2:E2"/>
    <mergeCell ref="G2:H2"/>
    <mergeCell ref="B3:E3"/>
    <mergeCell ref="G3:H3"/>
    <mergeCell ref="B4:E4"/>
    <mergeCell ref="G4:H4"/>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17:E17"/>
    <mergeCell ref="B18:E18"/>
    <mergeCell ref="B19:E19"/>
    <mergeCell ref="B20:E20"/>
    <mergeCell ref="B21:E21"/>
    <mergeCell ref="B22:E22"/>
    <mergeCell ref="B14:E14"/>
    <mergeCell ref="Z14:AA14"/>
    <mergeCell ref="B15:E15"/>
    <mergeCell ref="Z15:AA15"/>
    <mergeCell ref="B16:E16"/>
    <mergeCell ref="Z16:AA16"/>
    <mergeCell ref="B29:E29"/>
    <mergeCell ref="B31:D31"/>
    <mergeCell ref="B32:D32"/>
    <mergeCell ref="G32:I32"/>
    <mergeCell ref="B33:D33"/>
    <mergeCell ref="H33:I33"/>
    <mergeCell ref="B23:E23"/>
    <mergeCell ref="B24:E24"/>
    <mergeCell ref="B25:E25"/>
    <mergeCell ref="B26:E26"/>
    <mergeCell ref="B27:E27"/>
    <mergeCell ref="B28:E28"/>
    <mergeCell ref="B38:D38"/>
    <mergeCell ref="B39:D39"/>
    <mergeCell ref="B40:D40"/>
    <mergeCell ref="G40:I40"/>
    <mergeCell ref="B41:D41"/>
    <mergeCell ref="B42:D42"/>
    <mergeCell ref="B34:D34"/>
    <mergeCell ref="H34:I34"/>
    <mergeCell ref="B35:D35"/>
    <mergeCell ref="H35:I35"/>
    <mergeCell ref="B36:D36"/>
    <mergeCell ref="B37:D37"/>
    <mergeCell ref="B44:D44"/>
    <mergeCell ref="G46:L46"/>
    <mergeCell ref="A47:A51"/>
    <mergeCell ref="B47:F47"/>
    <mergeCell ref="G47:L47"/>
    <mergeCell ref="B48:F48"/>
    <mergeCell ref="G48:L48"/>
    <mergeCell ref="B49:F49"/>
    <mergeCell ref="G49:L49"/>
    <mergeCell ref="B50:F50"/>
    <mergeCell ref="G50:L50"/>
    <mergeCell ref="B51:F51"/>
    <mergeCell ref="G51:L51"/>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s>
  <conditionalFormatting sqref="B5">
    <cfRule type="containsText" dxfId="344" priority="1" operator="containsText" text="Terminé">
      <formula>NOT(ISERROR(SEARCH("Terminé",B5)))</formula>
    </cfRule>
    <cfRule type="containsText" dxfId="343" priority="2" operator="containsText" text="En cours">
      <formula>NOT(ISERROR(SEARCH("En cours",B5)))</formula>
    </cfRule>
    <cfRule type="containsText" dxfId="34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9"/>
  <sheetViews>
    <sheetView topLeftCell="A7" zoomScaleNormal="100" workbookViewId="0">
      <selection activeCell="B14" sqref="B14:E14"/>
    </sheetView>
  </sheetViews>
  <sheetFormatPr baseColWidth="10" defaultColWidth="11.42578125" defaultRowHeight="15" x14ac:dyDescent="0.25"/>
  <cols>
    <col min="1" max="1" width="40.7109375" style="7" customWidth="1"/>
    <col min="2" max="2" width="16.7109375" style="7" customWidth="1"/>
    <col min="3" max="3" width="18.7109375" style="7" customWidth="1"/>
    <col min="4" max="4" width="5.7109375" style="7" customWidth="1"/>
    <col min="5" max="5" width="18.7109375" style="7" customWidth="1"/>
    <col min="6" max="6" width="1.5703125" style="7" customWidth="1"/>
    <col min="7" max="16384" width="11.42578125" style="7"/>
  </cols>
  <sheetData>
    <row r="1" spans="1:28" ht="26.25" x14ac:dyDescent="0.4">
      <c r="A1" s="1001" t="s">
        <v>937</v>
      </c>
      <c r="B1" s="1001"/>
      <c r="C1" s="1001"/>
      <c r="D1" s="1001"/>
      <c r="E1" s="1001"/>
      <c r="F1" s="276"/>
    </row>
    <row r="2" spans="1:28" ht="19.5" customHeight="1" x14ac:dyDescent="0.25">
      <c r="A2" s="412" t="s">
        <v>750</v>
      </c>
      <c r="B2" s="1002" t="s">
        <v>770</v>
      </c>
      <c r="C2" s="1002"/>
      <c r="D2" s="1002"/>
      <c r="E2" s="1002"/>
      <c r="G2" s="1050" t="s">
        <v>751</v>
      </c>
      <c r="H2" s="1050"/>
    </row>
    <row r="3" spans="1:28" ht="19.5" customHeight="1" x14ac:dyDescent="0.25">
      <c r="A3" s="409" t="s">
        <v>743</v>
      </c>
      <c r="B3" s="987" t="s">
        <v>434</v>
      </c>
      <c r="C3" s="987"/>
      <c r="D3" s="987"/>
      <c r="E3" s="987"/>
      <c r="G3" s="1050" t="s">
        <v>752</v>
      </c>
      <c r="H3" s="1050"/>
    </row>
    <row r="4" spans="1:28" ht="19.5" customHeight="1" x14ac:dyDescent="0.25">
      <c r="A4" s="403" t="s">
        <v>292</v>
      </c>
      <c r="B4" s="996" t="s">
        <v>380</v>
      </c>
      <c r="C4" s="996"/>
      <c r="D4" s="996"/>
      <c r="E4" s="996"/>
      <c r="G4" s="1051" t="s">
        <v>753</v>
      </c>
      <c r="H4" s="1051"/>
    </row>
    <row r="5" spans="1:28" ht="19.5" customHeight="1" x14ac:dyDescent="0.25">
      <c r="A5" s="403" t="s">
        <v>16</v>
      </c>
      <c r="B5" s="1015" t="s">
        <v>19</v>
      </c>
      <c r="C5" s="1015"/>
      <c r="D5" s="1015"/>
      <c r="E5" s="1015"/>
      <c r="G5" s="1050" t="s">
        <v>754</v>
      </c>
      <c r="H5" s="1050"/>
    </row>
    <row r="6" spans="1:28" ht="19.5" customHeight="1" x14ac:dyDescent="0.25">
      <c r="A6" s="175" t="s">
        <v>474</v>
      </c>
      <c r="B6" s="993" t="s">
        <v>45</v>
      </c>
      <c r="C6" s="993"/>
      <c r="D6" s="993"/>
      <c r="E6" s="993"/>
      <c r="G6" s="1050" t="s">
        <v>755</v>
      </c>
      <c r="H6" s="1050"/>
    </row>
    <row r="7" spans="1:28" ht="19.5" customHeight="1" x14ac:dyDescent="0.25">
      <c r="A7" s="176" t="s">
        <v>475</v>
      </c>
      <c r="B7" s="994" t="s">
        <v>248</v>
      </c>
      <c r="C7" s="994"/>
      <c r="D7" s="994"/>
      <c r="E7" s="994"/>
      <c r="G7" s="1052" t="s">
        <v>756</v>
      </c>
      <c r="H7" s="1052"/>
      <c r="Z7" s="1023" t="s">
        <v>609</v>
      </c>
      <c r="AA7" s="1024"/>
      <c r="AB7" s="1025"/>
    </row>
    <row r="8" spans="1:28" ht="24" customHeight="1" x14ac:dyDescent="0.25">
      <c r="A8" s="105" t="s">
        <v>1</v>
      </c>
      <c r="B8" s="996" t="s">
        <v>40</v>
      </c>
      <c r="C8" s="996"/>
      <c r="D8" s="996"/>
      <c r="E8" s="996"/>
      <c r="G8" s="997" t="s">
        <v>936</v>
      </c>
      <c r="H8" s="6"/>
      <c r="I8" s="6"/>
      <c r="J8" s="6"/>
      <c r="K8" s="6"/>
      <c r="L8" s="6"/>
      <c r="M8" s="6"/>
      <c r="Z8" s="1028" t="s">
        <v>611</v>
      </c>
      <c r="AA8" s="1029"/>
      <c r="AB8" s="357">
        <v>0.26819999999999999</v>
      </c>
    </row>
    <row r="9" spans="1:28" ht="24" customHeight="1" x14ac:dyDescent="0.25">
      <c r="A9" s="105" t="s">
        <v>0</v>
      </c>
      <c r="B9" s="996" t="s">
        <v>124</v>
      </c>
      <c r="C9" s="996"/>
      <c r="D9" s="996"/>
      <c r="E9" s="996"/>
      <c r="G9" s="997"/>
      <c r="H9" s="6"/>
      <c r="I9" s="6"/>
      <c r="J9" s="6"/>
      <c r="K9" s="6"/>
      <c r="L9" s="6"/>
      <c r="M9" s="6"/>
      <c r="Z9" s="1028" t="s">
        <v>612</v>
      </c>
      <c r="AA9" s="1029"/>
      <c r="AB9" s="357">
        <v>3.1300000000000001E-2</v>
      </c>
    </row>
    <row r="10" spans="1:28" ht="39.75" customHeight="1" x14ac:dyDescent="0.25">
      <c r="A10" s="105" t="s">
        <v>2</v>
      </c>
      <c r="B10" s="1008" t="s">
        <v>511</v>
      </c>
      <c r="C10" s="1009"/>
      <c r="D10" s="1009"/>
      <c r="E10" s="1009"/>
      <c r="G10" s="997"/>
      <c r="I10" s="6"/>
      <c r="J10" s="6"/>
      <c r="K10" s="6"/>
      <c r="L10" s="6"/>
      <c r="M10" s="6"/>
      <c r="Z10" s="1028"/>
      <c r="AA10" s="1029"/>
      <c r="AB10" s="357"/>
    </row>
    <row r="11" spans="1:28" ht="31.5" customHeight="1" x14ac:dyDescent="0.25">
      <c r="A11" s="105" t="s">
        <v>29</v>
      </c>
      <c r="B11" s="1008" t="s">
        <v>1099</v>
      </c>
      <c r="C11" s="1009"/>
      <c r="D11" s="1009"/>
      <c r="E11" s="1009"/>
      <c r="G11" s="225">
        <v>83655</v>
      </c>
      <c r="H11" s="225" t="s">
        <v>25</v>
      </c>
      <c r="I11" s="6"/>
      <c r="J11" s="6"/>
      <c r="K11" s="6"/>
      <c r="L11" s="6"/>
      <c r="M11" s="6"/>
      <c r="Z11" s="1028" t="s">
        <v>613</v>
      </c>
      <c r="AA11" s="1029"/>
      <c r="AB11" s="357">
        <v>0.26819999999999999</v>
      </c>
    </row>
    <row r="12" spans="1:28" ht="30" customHeight="1" x14ac:dyDescent="0.25">
      <c r="A12" s="105" t="s">
        <v>14</v>
      </c>
      <c r="B12" s="1010" t="s">
        <v>939</v>
      </c>
      <c r="C12" s="1010"/>
      <c r="D12" s="1010"/>
      <c r="E12" s="1010"/>
      <c r="G12" s="225"/>
      <c r="H12" s="225" t="s">
        <v>7</v>
      </c>
      <c r="I12" s="6"/>
      <c r="J12" s="6"/>
      <c r="K12" s="6"/>
      <c r="L12" s="6"/>
      <c r="M12" s="6"/>
      <c r="Z12" s="1028" t="s">
        <v>614</v>
      </c>
      <c r="AA12" s="1029"/>
      <c r="AB12" s="357">
        <v>1.18E-2</v>
      </c>
    </row>
    <row r="13" spans="1:28" ht="30" customHeight="1" x14ac:dyDescent="0.25">
      <c r="A13" s="105" t="s">
        <v>3</v>
      </c>
      <c r="B13" s="1011" t="s">
        <v>943</v>
      </c>
      <c r="C13" s="1011"/>
      <c r="D13" s="1011"/>
      <c r="E13" s="1011"/>
      <c r="Z13" s="1028" t="s">
        <v>615</v>
      </c>
      <c r="AA13" s="1029"/>
      <c r="AB13" s="358">
        <v>0.36854545454545451</v>
      </c>
    </row>
    <row r="14" spans="1:28" ht="30" customHeight="1" x14ac:dyDescent="0.25">
      <c r="A14" s="105" t="s">
        <v>15</v>
      </c>
      <c r="B14" s="1011"/>
      <c r="C14" s="1011"/>
      <c r="D14" s="1011"/>
      <c r="E14" s="1011"/>
      <c r="Z14" s="1028" t="s">
        <v>616</v>
      </c>
      <c r="AA14" s="1029"/>
      <c r="AB14" s="357">
        <v>0.26819999999999999</v>
      </c>
    </row>
    <row r="15" spans="1:28" ht="30" customHeight="1" x14ac:dyDescent="0.25">
      <c r="A15" s="105" t="s">
        <v>4</v>
      </c>
      <c r="B15" s="1011">
        <v>2009</v>
      </c>
      <c r="C15" s="1011"/>
      <c r="D15" s="1011"/>
      <c r="E15" s="1011"/>
      <c r="Z15" s="1028" t="s">
        <v>578</v>
      </c>
      <c r="AA15" s="1029"/>
      <c r="AB15" s="357">
        <v>0.27700000000000002</v>
      </c>
    </row>
    <row r="16" spans="1:28" ht="30" customHeight="1" x14ac:dyDescent="0.25">
      <c r="A16" s="105" t="s">
        <v>5</v>
      </c>
      <c r="B16" s="1011">
        <v>2030</v>
      </c>
      <c r="C16" s="1011"/>
      <c r="D16" s="1011"/>
      <c r="E16" s="1011"/>
      <c r="Z16" s="1028" t="s">
        <v>579</v>
      </c>
      <c r="AA16" s="1029"/>
      <c r="AB16" s="357">
        <v>0.20269999999999999</v>
      </c>
    </row>
    <row r="17" spans="1:9" ht="30" customHeight="1" x14ac:dyDescent="0.25">
      <c r="A17" s="105" t="s">
        <v>6</v>
      </c>
      <c r="B17" s="1012">
        <v>83655</v>
      </c>
      <c r="C17" s="1012"/>
      <c r="D17" s="1012"/>
      <c r="E17" s="1012"/>
    </row>
    <row r="18" spans="1:9" ht="30" customHeight="1" x14ac:dyDescent="0.25">
      <c r="A18" s="105" t="s">
        <v>7</v>
      </c>
      <c r="B18" s="1012">
        <v>0</v>
      </c>
      <c r="C18" s="1012"/>
      <c r="D18" s="1012"/>
      <c r="E18" s="1012"/>
    </row>
    <row r="19" spans="1:9" ht="30" customHeight="1" x14ac:dyDescent="0.25">
      <c r="A19" s="106" t="s">
        <v>307</v>
      </c>
      <c r="B19" s="1013">
        <v>0</v>
      </c>
      <c r="C19" s="1014"/>
      <c r="D19" s="1014"/>
      <c r="E19" s="1014"/>
      <c r="G19" s="8"/>
      <c r="H19" s="8"/>
    </row>
    <row r="20" spans="1:9" ht="30" customHeight="1" x14ac:dyDescent="0.25">
      <c r="A20" s="97" t="s">
        <v>306</v>
      </c>
      <c r="B20" s="1006"/>
      <c r="C20" s="1007"/>
      <c r="D20" s="1007"/>
      <c r="E20" s="1007"/>
    </row>
    <row r="21" spans="1:9" ht="30" customHeight="1" x14ac:dyDescent="0.25">
      <c r="A21" s="98" t="s">
        <v>8</v>
      </c>
      <c r="B21" s="1000">
        <v>1</v>
      </c>
      <c r="C21" s="1000"/>
      <c r="D21" s="1000"/>
      <c r="E21" s="1000"/>
    </row>
    <row r="22" spans="1:9" ht="30" customHeight="1" x14ac:dyDescent="0.25">
      <c r="A22" s="98" t="s">
        <v>9</v>
      </c>
      <c r="B22" s="1000"/>
      <c r="C22" s="1000"/>
      <c r="D22" s="1000"/>
      <c r="E22" s="1000"/>
    </row>
    <row r="23" spans="1:9" ht="30" customHeight="1" x14ac:dyDescent="0.25">
      <c r="A23" s="98" t="s">
        <v>301</v>
      </c>
      <c r="B23" s="1016">
        <f>B17/(B21+B22)</f>
        <v>83655</v>
      </c>
      <c r="C23" s="1016"/>
      <c r="D23" s="1016"/>
      <c r="E23" s="1016"/>
    </row>
    <row r="24" spans="1:9" ht="30" customHeight="1" x14ac:dyDescent="0.25">
      <c r="A24" s="98" t="s">
        <v>302</v>
      </c>
      <c r="B24" s="1017">
        <f>(B17-B18)/(B21+B22)</f>
        <v>83655</v>
      </c>
      <c r="C24" s="1017"/>
      <c r="D24" s="1017"/>
      <c r="E24" s="1017"/>
    </row>
    <row r="25" spans="1:9" ht="30" customHeight="1" x14ac:dyDescent="0.25">
      <c r="A25" s="100" t="s">
        <v>305</v>
      </c>
      <c r="B25" s="1018">
        <f>B19*F25/1000</f>
        <v>0</v>
      </c>
      <c r="C25" s="1018"/>
      <c r="D25" s="1018"/>
      <c r="E25" s="1018"/>
    </row>
    <row r="26" spans="1:9" ht="30" customHeight="1" x14ac:dyDescent="0.25">
      <c r="A26" s="101" t="s">
        <v>303</v>
      </c>
      <c r="B26" s="1019">
        <f>B25/'Objectifs CO2'!C11</f>
        <v>0</v>
      </c>
      <c r="C26" s="1019"/>
      <c r="D26" s="1019"/>
      <c r="E26" s="1019"/>
    </row>
    <row r="27" spans="1:9" ht="30" customHeight="1" x14ac:dyDescent="0.25">
      <c r="A27" s="101" t="s">
        <v>304</v>
      </c>
      <c r="B27" s="1020">
        <f>B25/'Objectifs CO2'!C4</f>
        <v>0</v>
      </c>
      <c r="C27" s="1021"/>
      <c r="D27" s="1021"/>
      <c r="E27" s="1021"/>
    </row>
    <row r="28" spans="1:9" ht="30" customHeight="1" x14ac:dyDescent="0.25">
      <c r="A28" s="101" t="s">
        <v>22</v>
      </c>
      <c r="B28" s="999"/>
      <c r="C28" s="999"/>
      <c r="D28" s="999"/>
      <c r="E28" s="999"/>
    </row>
    <row r="29" spans="1:9" ht="30" customHeight="1" x14ac:dyDescent="0.25">
      <c r="A29" s="101" t="s">
        <v>257</v>
      </c>
      <c r="B29" s="999"/>
      <c r="C29" s="999"/>
      <c r="D29" s="999"/>
      <c r="E29" s="999"/>
    </row>
    <row r="31" spans="1:9" x14ac:dyDescent="0.25">
      <c r="A31" s="603" t="s">
        <v>1065</v>
      </c>
      <c r="B31" s="1003" t="s">
        <v>675</v>
      </c>
      <c r="C31" s="1003"/>
      <c r="D31" s="1003"/>
      <c r="E31" s="56" t="s">
        <v>676</v>
      </c>
      <c r="F31" s="6"/>
      <c r="G31" s="6"/>
      <c r="H31" s="6"/>
      <c r="I31" s="6"/>
    </row>
    <row r="32" spans="1:9"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B43" s="6"/>
      <c r="C43" s="6"/>
      <c r="D43" s="6"/>
      <c r="E43" s="94" t="s">
        <v>730</v>
      </c>
      <c r="F43" s="6"/>
      <c r="G43" s="6"/>
      <c r="H43" s="6"/>
      <c r="I43" s="6"/>
    </row>
    <row r="44" spans="1:12" x14ac:dyDescent="0.25">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2:E22"/>
    <mergeCell ref="B11:E11"/>
    <mergeCell ref="B12:E12"/>
    <mergeCell ref="B13:E13"/>
    <mergeCell ref="B14:E14"/>
    <mergeCell ref="B15:E15"/>
    <mergeCell ref="B16:E16"/>
    <mergeCell ref="B17:E17"/>
    <mergeCell ref="G6:H6"/>
    <mergeCell ref="A1:E1"/>
    <mergeCell ref="B8:E8"/>
    <mergeCell ref="B9:E9"/>
    <mergeCell ref="G2:H2"/>
    <mergeCell ref="G3:H3"/>
    <mergeCell ref="G4:H4"/>
    <mergeCell ref="G8:G10"/>
    <mergeCell ref="B2:E2"/>
    <mergeCell ref="B3:E3"/>
    <mergeCell ref="B4:E4"/>
    <mergeCell ref="B10:E10"/>
    <mergeCell ref="G7:H7"/>
    <mergeCell ref="B5:E5"/>
    <mergeCell ref="B6:E6"/>
    <mergeCell ref="B7:E7"/>
    <mergeCell ref="G40:I40"/>
    <mergeCell ref="Z16:AA16"/>
    <mergeCell ref="G5:H5"/>
    <mergeCell ref="Z11:AA11"/>
    <mergeCell ref="Z12:AA12"/>
    <mergeCell ref="Z13:AA13"/>
    <mergeCell ref="Z14:AA14"/>
    <mergeCell ref="Z15:AA15"/>
    <mergeCell ref="Z7:AB7"/>
    <mergeCell ref="Z8:AA8"/>
    <mergeCell ref="Z9:AA9"/>
    <mergeCell ref="Z10:AA10"/>
    <mergeCell ref="H35:I35"/>
    <mergeCell ref="G32:I32"/>
    <mergeCell ref="H33:I33"/>
    <mergeCell ref="H34:I34"/>
    <mergeCell ref="B41:D41"/>
    <mergeCell ref="B42:D42"/>
    <mergeCell ref="B44:D44"/>
    <mergeCell ref="B18:E18"/>
    <mergeCell ref="B19:E19"/>
    <mergeCell ref="B20:E20"/>
    <mergeCell ref="B21:E21"/>
    <mergeCell ref="B29:E29"/>
    <mergeCell ref="B28:E28"/>
    <mergeCell ref="B25:E25"/>
    <mergeCell ref="B26:E26"/>
    <mergeCell ref="B27:E27"/>
    <mergeCell ref="B23:E23"/>
    <mergeCell ref="B24:E24"/>
    <mergeCell ref="B31:D31"/>
    <mergeCell ref="B32:D32"/>
    <mergeCell ref="B40:D40"/>
    <mergeCell ref="B36:D36"/>
    <mergeCell ref="B37:D37"/>
    <mergeCell ref="B35:D35"/>
    <mergeCell ref="B38:D38"/>
    <mergeCell ref="B39:D39"/>
    <mergeCell ref="B33:D33"/>
    <mergeCell ref="B34:D34"/>
  </mergeCells>
  <conditionalFormatting sqref="B5">
    <cfRule type="containsText" dxfId="341" priority="1" operator="containsText" text="Terminé">
      <formula>NOT(ISERROR(SEARCH("Terminé",B5)))</formula>
    </cfRule>
    <cfRule type="containsText" dxfId="340" priority="2" operator="containsText" text="En cours">
      <formula>NOT(ISERROR(SEARCH("En cours",B5)))</formula>
    </cfRule>
    <cfRule type="containsText" dxfId="339" priority="3" operator="containsText" text="A faire">
      <formula>NOT(ISERROR(SEARCH("A faire",B5)))</formula>
    </cfRule>
  </conditionalFormatting>
  <hyperlink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E43" location="PRIORITES!A1" display="Lien vers PRIORITES"/>
    <hyperlink ref="G7" location="PRIORITES!A1" display="Lien vers PRIORITES"/>
  </hyperlinks>
  <pageMargins left="0.7" right="0.7" top="0.75" bottom="0.75" header="0.3" footer="0.3"/>
  <pageSetup paperSize="9" scale="7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9"/>
  <sheetViews>
    <sheetView topLeftCell="B5" zoomScale="145" zoomScaleNormal="145" workbookViewId="0">
      <selection activeCell="B7" sqref="B7:E7"/>
    </sheetView>
  </sheetViews>
  <sheetFormatPr baseColWidth="10" defaultColWidth="11.42578125" defaultRowHeight="15" x14ac:dyDescent="0.25"/>
  <cols>
    <col min="1" max="1" width="40.7109375" style="7" customWidth="1"/>
    <col min="2" max="2" width="16.7109375" style="7" customWidth="1"/>
    <col min="3" max="3" width="18.7109375" style="7" customWidth="1"/>
    <col min="4" max="4" width="5.7109375" style="7" customWidth="1"/>
    <col min="5" max="5" width="18.7109375" style="7" customWidth="1"/>
    <col min="6" max="6" width="1.5703125" style="7" customWidth="1"/>
    <col min="7" max="16384" width="11.42578125" style="7"/>
  </cols>
  <sheetData>
    <row r="1" spans="1:28" ht="26.25" x14ac:dyDescent="0.4">
      <c r="A1" s="1001" t="s">
        <v>937</v>
      </c>
      <c r="B1" s="1001"/>
      <c r="C1" s="1001"/>
      <c r="D1" s="1001"/>
      <c r="E1" s="1001"/>
      <c r="F1" s="276"/>
    </row>
    <row r="2" spans="1:28" ht="19.5" customHeight="1" x14ac:dyDescent="0.25">
      <c r="A2" s="412" t="s">
        <v>750</v>
      </c>
      <c r="B2" s="1002" t="s">
        <v>771</v>
      </c>
      <c r="C2" s="1002"/>
      <c r="D2" s="1002"/>
      <c r="E2" s="1002"/>
      <c r="G2" s="986" t="s">
        <v>751</v>
      </c>
      <c r="H2" s="986"/>
    </row>
    <row r="3" spans="1:28" ht="19.5" customHeight="1" x14ac:dyDescent="0.25">
      <c r="A3" s="409" t="s">
        <v>743</v>
      </c>
      <c r="B3" s="987" t="s">
        <v>434</v>
      </c>
      <c r="C3" s="987"/>
      <c r="D3" s="987"/>
      <c r="E3" s="987"/>
      <c r="G3" s="986" t="s">
        <v>752</v>
      </c>
      <c r="H3" s="986"/>
    </row>
    <row r="4" spans="1:28" ht="19.5" customHeight="1" x14ac:dyDescent="0.25">
      <c r="A4" s="403" t="s">
        <v>292</v>
      </c>
      <c r="B4" s="996" t="s">
        <v>380</v>
      </c>
      <c r="C4" s="996"/>
      <c r="D4" s="996"/>
      <c r="E4" s="996"/>
      <c r="G4" s="986" t="s">
        <v>753</v>
      </c>
      <c r="H4" s="986"/>
    </row>
    <row r="5" spans="1:28" ht="19.5" customHeight="1" x14ac:dyDescent="0.25">
      <c r="A5" s="403" t="s">
        <v>16</v>
      </c>
      <c r="B5" s="1015" t="s">
        <v>19</v>
      </c>
      <c r="C5" s="1015"/>
      <c r="D5" s="1015"/>
      <c r="E5" s="1015"/>
      <c r="G5" s="986" t="s">
        <v>754</v>
      </c>
      <c r="H5" s="986"/>
      <c r="Z5" s="1023" t="s">
        <v>609</v>
      </c>
      <c r="AA5" s="1024"/>
      <c r="AB5" s="1025"/>
    </row>
    <row r="6" spans="1:28" ht="19.5" customHeight="1" x14ac:dyDescent="0.25">
      <c r="A6" s="413" t="s">
        <v>474</v>
      </c>
      <c r="B6" s="993" t="s">
        <v>608</v>
      </c>
      <c r="C6" s="993"/>
      <c r="D6" s="993"/>
      <c r="E6" s="993"/>
      <c r="G6" s="986" t="s">
        <v>755</v>
      </c>
      <c r="H6" s="986"/>
      <c r="Z6" s="1026"/>
      <c r="AA6" s="1027"/>
      <c r="AB6" s="357" t="s">
        <v>610</v>
      </c>
    </row>
    <row r="7" spans="1:28" ht="19.5" customHeight="1" x14ac:dyDescent="0.25">
      <c r="A7" s="253" t="s">
        <v>475</v>
      </c>
      <c r="B7" s="994" t="s">
        <v>608</v>
      </c>
      <c r="C7" s="994"/>
      <c r="D7" s="994"/>
      <c r="E7" s="994"/>
      <c r="G7" s="995" t="s">
        <v>756</v>
      </c>
      <c r="H7" s="995"/>
      <c r="I7" s="400"/>
      <c r="J7" s="400"/>
      <c r="Z7" s="401"/>
      <c r="AA7" s="402"/>
      <c r="AB7" s="357"/>
    </row>
    <row r="8" spans="1:28" ht="24" customHeight="1" x14ac:dyDescent="0.25">
      <c r="A8" s="105" t="s">
        <v>1</v>
      </c>
      <c r="B8" s="996" t="s">
        <v>40</v>
      </c>
      <c r="C8" s="996"/>
      <c r="D8" s="996"/>
      <c r="E8" s="996"/>
      <c r="G8" s="997" t="s">
        <v>936</v>
      </c>
      <c r="H8" s="6"/>
      <c r="I8" s="6"/>
      <c r="J8" s="6"/>
      <c r="K8" s="6"/>
      <c r="L8" s="6"/>
      <c r="M8" s="6"/>
      <c r="Z8" s="1028" t="s">
        <v>611</v>
      </c>
      <c r="AA8" s="1029"/>
      <c r="AB8" s="357">
        <v>0.26819999999999999</v>
      </c>
    </row>
    <row r="9" spans="1:28" ht="24" customHeight="1" x14ac:dyDescent="0.25">
      <c r="A9" s="105" t="s">
        <v>0</v>
      </c>
      <c r="B9" s="996" t="s">
        <v>669</v>
      </c>
      <c r="C9" s="996"/>
      <c r="D9" s="996"/>
      <c r="E9" s="996"/>
      <c r="G9" s="997"/>
      <c r="H9" s="6"/>
      <c r="I9" s="6"/>
      <c r="J9" s="6"/>
      <c r="K9" s="6"/>
      <c r="L9" s="6"/>
      <c r="M9" s="6"/>
      <c r="Z9" s="1028" t="s">
        <v>612</v>
      </c>
      <c r="AA9" s="1029"/>
      <c r="AB9" s="357">
        <v>3.1300000000000001E-2</v>
      </c>
    </row>
    <row r="10" spans="1:28" s="224" customFormat="1" ht="87.75" customHeight="1" x14ac:dyDescent="0.25">
      <c r="A10" s="223" t="s">
        <v>2</v>
      </c>
      <c r="B10" s="1053" t="s">
        <v>1079</v>
      </c>
      <c r="C10" s="1054"/>
      <c r="D10" s="1054"/>
      <c r="E10" s="1055"/>
      <c r="G10" s="997"/>
      <c r="H10" s="7"/>
      <c r="I10" s="6"/>
      <c r="J10" s="6"/>
      <c r="K10" s="6"/>
      <c r="L10" s="6"/>
      <c r="M10" s="6"/>
      <c r="Z10" s="1028"/>
      <c r="AA10" s="1029"/>
      <c r="AB10" s="357"/>
    </row>
    <row r="11" spans="1:28" ht="31.5" customHeight="1" x14ac:dyDescent="0.25">
      <c r="A11" s="105" t="s">
        <v>29</v>
      </c>
      <c r="B11" s="1008"/>
      <c r="C11" s="1009"/>
      <c r="D11" s="1009"/>
      <c r="E11" s="1009"/>
      <c r="G11" s="225">
        <v>0</v>
      </c>
      <c r="H11" s="225" t="s">
        <v>25</v>
      </c>
      <c r="I11" s="6"/>
      <c r="J11" s="6"/>
      <c r="K11" s="6"/>
      <c r="L11" s="6"/>
      <c r="M11" s="6"/>
      <c r="Z11" s="1028" t="s">
        <v>613</v>
      </c>
      <c r="AA11" s="1029"/>
      <c r="AB11" s="357">
        <v>0.26819999999999999</v>
      </c>
    </row>
    <row r="12" spans="1:28" ht="30" customHeight="1" x14ac:dyDescent="0.25">
      <c r="A12" s="105" t="s">
        <v>14</v>
      </c>
      <c r="B12" s="1010" t="s">
        <v>939</v>
      </c>
      <c r="C12" s="1010"/>
      <c r="D12" s="1010"/>
      <c r="E12" s="1010"/>
      <c r="G12" s="225"/>
      <c r="H12" s="225" t="s">
        <v>7</v>
      </c>
      <c r="I12" s="6"/>
      <c r="J12" s="6"/>
      <c r="K12" s="6"/>
      <c r="L12" s="6"/>
      <c r="M12" s="6"/>
      <c r="Z12" s="1028" t="s">
        <v>614</v>
      </c>
      <c r="AA12" s="1029"/>
      <c r="AB12" s="357">
        <v>1.18E-2</v>
      </c>
    </row>
    <row r="13" spans="1:28" ht="30" customHeight="1" x14ac:dyDescent="0.25">
      <c r="A13" s="105" t="s">
        <v>3</v>
      </c>
      <c r="B13" s="1011" t="s">
        <v>943</v>
      </c>
      <c r="C13" s="1011"/>
      <c r="D13" s="1011"/>
      <c r="E13" s="1011"/>
      <c r="Z13" s="1028" t="s">
        <v>615</v>
      </c>
      <c r="AA13" s="1029"/>
      <c r="AB13" s="358">
        <v>0.36854545454545451</v>
      </c>
    </row>
    <row r="14" spans="1:28" ht="30" customHeight="1" x14ac:dyDescent="0.25">
      <c r="A14" s="105" t="s">
        <v>15</v>
      </c>
      <c r="B14" s="1011"/>
      <c r="C14" s="1011"/>
      <c r="D14" s="1011"/>
      <c r="E14" s="1011"/>
      <c r="Z14" s="1028" t="s">
        <v>616</v>
      </c>
      <c r="AA14" s="1029"/>
      <c r="AB14" s="357">
        <v>0.26819999999999999</v>
      </c>
    </row>
    <row r="15" spans="1:28" ht="30" customHeight="1" x14ac:dyDescent="0.25">
      <c r="A15" s="105" t="s">
        <v>4</v>
      </c>
      <c r="B15" s="1011">
        <v>2019</v>
      </c>
      <c r="C15" s="1011"/>
      <c r="D15" s="1011"/>
      <c r="E15" s="1011"/>
      <c r="Z15" s="1028" t="s">
        <v>578</v>
      </c>
      <c r="AA15" s="1029"/>
      <c r="AB15" s="357">
        <v>0.27700000000000002</v>
      </c>
    </row>
    <row r="16" spans="1:28" ht="30" customHeight="1" x14ac:dyDescent="0.25">
      <c r="A16" s="105" t="s">
        <v>5</v>
      </c>
      <c r="B16" s="1011">
        <v>2020</v>
      </c>
      <c r="C16" s="1011"/>
      <c r="D16" s="1011"/>
      <c r="E16" s="1011"/>
      <c r="Z16" s="1028" t="s">
        <v>579</v>
      </c>
      <c r="AA16" s="1029"/>
      <c r="AB16" s="357">
        <v>0.20269999999999999</v>
      </c>
    </row>
    <row r="17" spans="1:9" ht="30" customHeight="1" x14ac:dyDescent="0.25">
      <c r="A17" s="105" t="s">
        <v>6</v>
      </c>
      <c r="B17" s="1012">
        <f>SUM(G11:L11)</f>
        <v>0</v>
      </c>
      <c r="C17" s="1012"/>
      <c r="D17" s="1012"/>
      <c r="E17" s="1012"/>
    </row>
    <row r="18" spans="1:9" ht="30" customHeight="1" x14ac:dyDescent="0.25">
      <c r="A18" s="98" t="s">
        <v>7</v>
      </c>
      <c r="B18" s="1012">
        <f>SUM(G12:L12)</f>
        <v>0</v>
      </c>
      <c r="C18" s="1012"/>
      <c r="D18" s="1012"/>
      <c r="E18" s="1012"/>
    </row>
    <row r="19" spans="1:9" ht="30" customHeight="1" x14ac:dyDescent="0.25">
      <c r="A19" s="106" t="s">
        <v>307</v>
      </c>
      <c r="B19" s="1013"/>
      <c r="C19" s="1014"/>
      <c r="D19" s="1014"/>
      <c r="E19" s="1014"/>
    </row>
    <row r="20" spans="1:9" ht="30" customHeight="1" x14ac:dyDescent="0.25">
      <c r="A20" s="97" t="s">
        <v>306</v>
      </c>
      <c r="B20" s="1006">
        <f>G17*0.85</f>
        <v>0</v>
      </c>
      <c r="C20" s="1007"/>
      <c r="D20" s="1007"/>
      <c r="E20" s="1007"/>
    </row>
    <row r="21" spans="1:9" ht="30" customHeight="1" x14ac:dyDescent="0.25">
      <c r="A21" s="98" t="s">
        <v>8</v>
      </c>
      <c r="B21" s="1000">
        <v>1</v>
      </c>
      <c r="C21" s="1000"/>
      <c r="D21" s="1000"/>
      <c r="E21" s="1000"/>
    </row>
    <row r="22" spans="1:9" ht="30" customHeight="1" x14ac:dyDescent="0.25">
      <c r="A22" s="98" t="s">
        <v>9</v>
      </c>
      <c r="B22" s="1000"/>
      <c r="C22" s="1000"/>
      <c r="D22" s="1000"/>
      <c r="E22" s="1000"/>
    </row>
    <row r="23" spans="1:9" ht="30" customHeight="1" x14ac:dyDescent="0.25">
      <c r="A23" s="98" t="s">
        <v>301</v>
      </c>
      <c r="B23" s="1016">
        <f>B17/(B21+B22)</f>
        <v>0</v>
      </c>
      <c r="C23" s="1016"/>
      <c r="D23" s="1016"/>
      <c r="E23" s="1016"/>
    </row>
    <row r="24" spans="1:9" ht="30" customHeight="1" x14ac:dyDescent="0.25">
      <c r="A24" s="98" t="s">
        <v>302</v>
      </c>
      <c r="B24" s="1017">
        <f>(B17-B18)/(B21+B22)</f>
        <v>0</v>
      </c>
      <c r="C24" s="1017"/>
      <c r="D24" s="1017"/>
      <c r="E24" s="1017"/>
    </row>
    <row r="25" spans="1:9" ht="30" customHeight="1" x14ac:dyDescent="0.25">
      <c r="A25" s="100" t="s">
        <v>305</v>
      </c>
      <c r="B25" s="1030">
        <f>B20*G25/1000</f>
        <v>0</v>
      </c>
      <c r="C25" s="1030"/>
      <c r="D25" s="1030"/>
      <c r="E25" s="1030"/>
    </row>
    <row r="26" spans="1:9" ht="30" customHeight="1" x14ac:dyDescent="0.25">
      <c r="A26" s="101" t="s">
        <v>303</v>
      </c>
      <c r="B26" s="1019">
        <f>B25/'Objectifs CO2'!C11</f>
        <v>0</v>
      </c>
      <c r="C26" s="1019"/>
      <c r="D26" s="1019"/>
      <c r="E26" s="1019"/>
    </row>
    <row r="27" spans="1:9" ht="30" customHeight="1" x14ac:dyDescent="0.25">
      <c r="A27" s="101" t="s">
        <v>304</v>
      </c>
      <c r="B27" s="1020">
        <f>B25/'Objectifs CO2'!C4</f>
        <v>0</v>
      </c>
      <c r="C27" s="1021"/>
      <c r="D27" s="1021"/>
      <c r="E27" s="1021"/>
    </row>
    <row r="28" spans="1:9" ht="30" customHeight="1" x14ac:dyDescent="0.25">
      <c r="A28" s="101" t="s">
        <v>22</v>
      </c>
      <c r="B28" s="999"/>
      <c r="C28" s="999"/>
      <c r="D28" s="999"/>
      <c r="E28" s="999"/>
    </row>
    <row r="29" spans="1:9" ht="30" customHeight="1" x14ac:dyDescent="0.25">
      <c r="A29" s="101" t="s">
        <v>257</v>
      </c>
      <c r="B29" s="999" t="s">
        <v>259</v>
      </c>
      <c r="C29" s="999"/>
      <c r="D29" s="999"/>
      <c r="E29" s="999"/>
    </row>
    <row r="31" spans="1:9" x14ac:dyDescent="0.25">
      <c r="A31" s="603" t="s">
        <v>1065</v>
      </c>
      <c r="B31" s="1003" t="s">
        <v>675</v>
      </c>
      <c r="C31" s="1003"/>
      <c r="D31" s="1003"/>
      <c r="E31" s="56" t="s">
        <v>676</v>
      </c>
      <c r="F31" s="6"/>
      <c r="G31" s="6"/>
      <c r="H31" s="6"/>
      <c r="I31" s="6"/>
    </row>
    <row r="32" spans="1:9"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B43" s="6"/>
      <c r="C43" s="6"/>
      <c r="D43" s="6"/>
      <c r="E43" s="94" t="s">
        <v>730</v>
      </c>
      <c r="F43" s="6"/>
      <c r="G43" s="6"/>
      <c r="H43" s="6"/>
      <c r="I43" s="6"/>
    </row>
    <row r="44" spans="1:12" x14ac:dyDescent="0.25">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19:E19"/>
    <mergeCell ref="G46:L46"/>
    <mergeCell ref="A47:A51"/>
    <mergeCell ref="B47:F47"/>
    <mergeCell ref="G47:L47"/>
    <mergeCell ref="B48:F48"/>
    <mergeCell ref="G48:L48"/>
    <mergeCell ref="B49:F49"/>
    <mergeCell ref="G49:L49"/>
    <mergeCell ref="B50:F50"/>
    <mergeCell ref="G50:L50"/>
    <mergeCell ref="B51:F51"/>
    <mergeCell ref="G51:L51"/>
    <mergeCell ref="H35:I35"/>
    <mergeCell ref="B36:D36"/>
    <mergeCell ref="B42:D42"/>
    <mergeCell ref="B44:D44"/>
    <mergeCell ref="B37:D37"/>
    <mergeCell ref="B38:D38"/>
    <mergeCell ref="B39:D39"/>
    <mergeCell ref="B31:D31"/>
    <mergeCell ref="B32:D32"/>
    <mergeCell ref="G32:I32"/>
    <mergeCell ref="B29:E29"/>
    <mergeCell ref="Z5:AB5"/>
    <mergeCell ref="Z6:AA6"/>
    <mergeCell ref="Z8:AA8"/>
    <mergeCell ref="Z9:AA9"/>
    <mergeCell ref="Z10:AA10"/>
    <mergeCell ref="G7:H7"/>
    <mergeCell ref="B15:E15"/>
    <mergeCell ref="B16:E16"/>
    <mergeCell ref="B17:E17"/>
    <mergeCell ref="Z16:AA16"/>
    <mergeCell ref="Z11:AA11"/>
    <mergeCell ref="Z12:AA12"/>
    <mergeCell ref="Z13:AA13"/>
    <mergeCell ref="Z14:AA14"/>
    <mergeCell ref="Z15:AA15"/>
    <mergeCell ref="B13:E13"/>
    <mergeCell ref="B14:E14"/>
    <mergeCell ref="B12:E12"/>
    <mergeCell ref="B11:E11"/>
    <mergeCell ref="G8:G10"/>
    <mergeCell ref="B20:E20"/>
    <mergeCell ref="B28:E28"/>
    <mergeCell ref="B27:E27"/>
    <mergeCell ref="B21:E21"/>
    <mergeCell ref="B22:E22"/>
    <mergeCell ref="B23:E23"/>
    <mergeCell ref="B24:E24"/>
    <mergeCell ref="B25:E25"/>
    <mergeCell ref="B26:E26"/>
    <mergeCell ref="B18:E18"/>
    <mergeCell ref="B40:D40"/>
    <mergeCell ref="B41:D41"/>
    <mergeCell ref="A1:E1"/>
    <mergeCell ref="B2:E2"/>
    <mergeCell ref="G2:H2"/>
    <mergeCell ref="B3:E3"/>
    <mergeCell ref="G3:H3"/>
    <mergeCell ref="B4:E4"/>
    <mergeCell ref="B5:E5"/>
    <mergeCell ref="B6:E6"/>
    <mergeCell ref="B7:E7"/>
    <mergeCell ref="G6:H6"/>
    <mergeCell ref="G4:H4"/>
    <mergeCell ref="G5:H5"/>
    <mergeCell ref="B33:D33"/>
    <mergeCell ref="H33:I33"/>
    <mergeCell ref="G40:I40"/>
    <mergeCell ref="B34:D34"/>
    <mergeCell ref="H34:I34"/>
    <mergeCell ref="B35:D35"/>
    <mergeCell ref="B8:E8"/>
    <mergeCell ref="B9:E9"/>
    <mergeCell ref="B10:E10"/>
  </mergeCells>
  <conditionalFormatting sqref="B5">
    <cfRule type="containsText" dxfId="338" priority="1" operator="containsText" text="Terminé">
      <formula>NOT(ISERROR(SEARCH("Terminé",B5)))</formula>
    </cfRule>
    <cfRule type="containsText" dxfId="337" priority="2" operator="containsText" text="En cours">
      <formula>NOT(ISERROR(SEARCH("En cours",B5)))</formula>
    </cfRule>
    <cfRule type="containsText" dxfId="33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1" zoomScale="130" zoomScaleNormal="130" workbookViewId="0">
      <selection sqref="A1:E1"/>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1001" t="s">
        <v>937</v>
      </c>
      <c r="B1" s="1001"/>
      <c r="C1" s="1001"/>
      <c r="D1" s="1001"/>
      <c r="E1" s="1001"/>
      <c r="F1" s="276"/>
      <c r="G1" s="7"/>
      <c r="H1" s="7"/>
    </row>
    <row r="2" spans="1:28" ht="19.5" customHeight="1" x14ac:dyDescent="0.25">
      <c r="A2" s="412" t="s">
        <v>750</v>
      </c>
      <c r="B2" s="1002" t="s">
        <v>772</v>
      </c>
      <c r="C2" s="1002"/>
      <c r="D2" s="1002"/>
      <c r="E2" s="1002"/>
      <c r="F2" s="7"/>
      <c r="G2" s="986" t="s">
        <v>751</v>
      </c>
      <c r="H2" s="986"/>
    </row>
    <row r="3" spans="1:28" ht="19.5" customHeight="1" x14ac:dyDescent="0.25">
      <c r="A3" s="409" t="s">
        <v>743</v>
      </c>
      <c r="B3" s="987" t="s">
        <v>434</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96" t="s">
        <v>127</v>
      </c>
      <c r="C8" s="996"/>
      <c r="D8" s="996"/>
      <c r="E8" s="996"/>
      <c r="G8" s="997" t="s">
        <v>936</v>
      </c>
      <c r="Z8" s="1028" t="s">
        <v>611</v>
      </c>
      <c r="AA8" s="1029"/>
      <c r="AB8" s="357">
        <v>0.26819999999999999</v>
      </c>
    </row>
    <row r="9" spans="1:28" ht="24" customHeight="1" x14ac:dyDescent="0.25">
      <c r="A9" s="98" t="s">
        <v>0</v>
      </c>
      <c r="B9" s="996" t="s">
        <v>978</v>
      </c>
      <c r="C9" s="996"/>
      <c r="D9" s="996"/>
      <c r="E9" s="996"/>
      <c r="G9" s="997"/>
      <c r="Z9" s="1028" t="s">
        <v>612</v>
      </c>
      <c r="AA9" s="1029"/>
      <c r="AB9" s="357">
        <v>3.1300000000000001E-2</v>
      </c>
    </row>
    <row r="10" spans="1:28" ht="54" customHeight="1" x14ac:dyDescent="0.25">
      <c r="A10" s="102" t="s">
        <v>2</v>
      </c>
      <c r="B10" s="1008" t="s">
        <v>896</v>
      </c>
      <c r="C10" s="1008"/>
      <c r="D10" s="1008"/>
      <c r="E10" s="1008"/>
      <c r="G10" s="997"/>
      <c r="H10" s="7"/>
      <c r="Z10" s="1028"/>
      <c r="AA10" s="1029"/>
      <c r="AB10" s="357"/>
    </row>
    <row r="11" spans="1:28" ht="54" customHeight="1" x14ac:dyDescent="0.25">
      <c r="A11" s="102" t="s">
        <v>29</v>
      </c>
      <c r="B11" s="1059" t="s">
        <v>859</v>
      </c>
      <c r="C11" s="1060"/>
      <c r="D11" s="1060"/>
      <c r="E11" s="1061"/>
      <c r="G11" s="225">
        <v>0</v>
      </c>
      <c r="H11" s="225" t="s">
        <v>25</v>
      </c>
      <c r="Z11" s="1028" t="s">
        <v>613</v>
      </c>
      <c r="AA11" s="1029"/>
      <c r="AB11" s="357">
        <v>0.26819999999999999</v>
      </c>
    </row>
    <row r="12" spans="1:28" ht="30" customHeight="1" x14ac:dyDescent="0.25">
      <c r="A12" s="102" t="s">
        <v>14</v>
      </c>
      <c r="B12" s="1010" t="s">
        <v>607</v>
      </c>
      <c r="C12" s="1010"/>
      <c r="D12" s="1010"/>
      <c r="E12" s="1010"/>
      <c r="G12" s="225"/>
      <c r="H12" s="225" t="s">
        <v>7</v>
      </c>
      <c r="Z12" s="1028" t="s">
        <v>614</v>
      </c>
      <c r="AA12" s="1029"/>
      <c r="AB12" s="357">
        <v>1.18E-2</v>
      </c>
    </row>
    <row r="13" spans="1:28" ht="30" customHeight="1" x14ac:dyDescent="0.25">
      <c r="A13" s="102" t="s">
        <v>3</v>
      </c>
      <c r="B13" s="1010"/>
      <c r="C13" s="1010"/>
      <c r="D13" s="1010"/>
      <c r="E13" s="1010"/>
      <c r="G13" s="604">
        <v>250</v>
      </c>
      <c r="H13" s="604" t="s">
        <v>249</v>
      </c>
      <c r="Z13" s="1028" t="s">
        <v>615</v>
      </c>
      <c r="AA13" s="1029"/>
      <c r="AB13" s="358">
        <v>0.36854545454545451</v>
      </c>
    </row>
    <row r="14" spans="1:28" ht="30" customHeight="1" x14ac:dyDescent="0.25">
      <c r="A14" s="102" t="s">
        <v>15</v>
      </c>
      <c r="B14" s="1010"/>
      <c r="C14" s="1010"/>
      <c r="D14" s="1010"/>
      <c r="E14" s="1010"/>
      <c r="Z14" s="1028" t="s">
        <v>616</v>
      </c>
      <c r="AA14" s="1029"/>
      <c r="AB14" s="357">
        <v>0.26819999999999999</v>
      </c>
    </row>
    <row r="15" spans="1:28" ht="30" customHeight="1" x14ac:dyDescent="0.25">
      <c r="A15" s="102" t="s">
        <v>4</v>
      </c>
      <c r="B15" s="1010">
        <v>2020</v>
      </c>
      <c r="C15" s="1010"/>
      <c r="D15" s="1010"/>
      <c r="E15" s="1010"/>
      <c r="G15" s="59" t="s">
        <v>293</v>
      </c>
      <c r="H15" s="59" t="s">
        <v>128</v>
      </c>
      <c r="I15" s="59" t="s">
        <v>117</v>
      </c>
      <c r="J15" s="60" t="s">
        <v>133</v>
      </c>
      <c r="K15" s="60" t="s">
        <v>294</v>
      </c>
      <c r="L15" s="60" t="s">
        <v>295</v>
      </c>
      <c r="M15" s="60" t="s">
        <v>296</v>
      </c>
      <c r="N15" s="60" t="s">
        <v>130</v>
      </c>
      <c r="Z15" s="1028" t="s">
        <v>578</v>
      </c>
      <c r="AA15" s="1029"/>
      <c r="AB15" s="357">
        <v>0.27700000000000002</v>
      </c>
    </row>
    <row r="16" spans="1:28" ht="30" customHeight="1" x14ac:dyDescent="0.25">
      <c r="A16" s="102" t="s">
        <v>5</v>
      </c>
      <c r="B16" s="1010">
        <v>2030</v>
      </c>
      <c r="C16" s="1010"/>
      <c r="D16" s="1010"/>
      <c r="E16" s="1010"/>
      <c r="G16" s="92">
        <v>250</v>
      </c>
      <c r="H16" s="92">
        <v>0.15</v>
      </c>
      <c r="I16" s="92">
        <v>0.7</v>
      </c>
      <c r="J16" s="91">
        <v>3247</v>
      </c>
      <c r="K16" s="208">
        <f>'Objectifs CO2'!Z32</f>
        <v>46882.329252344512</v>
      </c>
      <c r="L16" s="215">
        <f>'Objectifs CO2'!AA32</f>
        <v>4047.431355855701</v>
      </c>
      <c r="M16" s="91">
        <f>AB8</f>
        <v>0.26819999999999999</v>
      </c>
      <c r="N16" s="88">
        <f>K20</f>
        <v>0.24937335568139635</v>
      </c>
      <c r="Z16" s="1028" t="s">
        <v>579</v>
      </c>
      <c r="AA16" s="1029"/>
      <c r="AB16" s="357">
        <v>0.20269999999999999</v>
      </c>
    </row>
    <row r="17" spans="1:12" ht="30" customHeight="1" x14ac:dyDescent="0.25">
      <c r="A17" s="102" t="s">
        <v>6</v>
      </c>
      <c r="B17" s="1012">
        <f>SUM(G11:L11)</f>
        <v>0</v>
      </c>
      <c r="C17" s="1012"/>
      <c r="D17" s="1012"/>
      <c r="E17" s="1012"/>
      <c r="H17" s="6">
        <f>(K16+L16)/J16*100</f>
        <v>1568.5174194086915</v>
      </c>
    </row>
    <row r="18" spans="1:12" ht="30" customHeight="1" x14ac:dyDescent="0.25">
      <c r="A18" s="102" t="s">
        <v>7</v>
      </c>
      <c r="B18" s="1012">
        <f>SUM(G12:L12)</f>
        <v>0</v>
      </c>
      <c r="C18" s="1012"/>
      <c r="D18" s="1012"/>
      <c r="E18" s="1012"/>
      <c r="K18" s="221">
        <f>+M16</f>
        <v>0.26819999999999999</v>
      </c>
      <c r="L18" s="75">
        <f>K16</f>
        <v>46882.329252344512</v>
      </c>
    </row>
    <row r="19" spans="1:12" ht="30" customHeight="1" x14ac:dyDescent="0.25">
      <c r="A19" s="99" t="s">
        <v>307</v>
      </c>
      <c r="B19" s="1039">
        <f>H17*H16*G16*10</f>
        <v>588194.03227825928</v>
      </c>
      <c r="C19" s="1040"/>
      <c r="D19" s="1040"/>
      <c r="E19" s="1040"/>
      <c r="K19" s="221">
        <f>+AB9</f>
        <v>3.1300000000000001E-2</v>
      </c>
      <c r="L19" s="75">
        <f>L16</f>
        <v>4047.431355855701</v>
      </c>
    </row>
    <row r="20" spans="1:12" ht="30" customHeight="1" x14ac:dyDescent="0.25">
      <c r="A20" s="96" t="s">
        <v>306</v>
      </c>
      <c r="B20" s="1041"/>
      <c r="C20" s="1042"/>
      <c r="D20" s="1042"/>
      <c r="E20" s="1042"/>
      <c r="K20" s="360">
        <f>(K18*L18+K19*L19)/L20</f>
        <v>0.24937335568139635</v>
      </c>
      <c r="L20" s="75">
        <f>L19+L18</f>
        <v>50929.760608200217</v>
      </c>
    </row>
    <row r="21" spans="1:12" ht="30" customHeight="1" x14ac:dyDescent="0.25">
      <c r="A21" s="102" t="s">
        <v>8</v>
      </c>
      <c r="B21" s="1000">
        <f>B19*I16/10</f>
        <v>41173.582259478149</v>
      </c>
      <c r="C21" s="1000"/>
      <c r="D21" s="1000"/>
      <c r="E21" s="1000"/>
    </row>
    <row r="22" spans="1:12" ht="30" customHeight="1" x14ac:dyDescent="0.25">
      <c r="A22" s="102" t="s">
        <v>9</v>
      </c>
      <c r="B22" s="1000"/>
      <c r="C22" s="1000"/>
      <c r="D22" s="1000"/>
      <c r="E22" s="1000"/>
    </row>
    <row r="23" spans="1:12" ht="30" customHeight="1" x14ac:dyDescent="0.25">
      <c r="A23" s="102" t="s">
        <v>301</v>
      </c>
      <c r="B23" s="1016">
        <f>B17/(B21+B22)</f>
        <v>0</v>
      </c>
      <c r="C23" s="1016"/>
      <c r="D23" s="1016"/>
      <c r="E23" s="1016"/>
    </row>
    <row r="24" spans="1:12" ht="30" customHeight="1" x14ac:dyDescent="0.25">
      <c r="A24" s="102" t="s">
        <v>302</v>
      </c>
      <c r="B24" s="1017">
        <f>(B17-B18)/(B21+B22)</f>
        <v>0</v>
      </c>
      <c r="C24" s="1017"/>
      <c r="D24" s="1017"/>
      <c r="E24" s="1017"/>
    </row>
    <row r="25" spans="1:12" ht="30" customHeight="1" x14ac:dyDescent="0.25">
      <c r="A25" s="103" t="s">
        <v>305</v>
      </c>
      <c r="B25" s="1036">
        <f>B19*N16/1000</f>
        <v>146.67991962100109</v>
      </c>
      <c r="C25" s="1036"/>
      <c r="D25" s="1036"/>
      <c r="E25" s="1036"/>
    </row>
    <row r="26" spans="1:12" ht="30" customHeight="1" x14ac:dyDescent="0.25">
      <c r="A26" s="104" t="s">
        <v>303</v>
      </c>
      <c r="B26" s="1058">
        <f>+B25/'Objectifs CO2'!C8</f>
        <v>1.3530285406370886E-2</v>
      </c>
      <c r="C26" s="1058"/>
      <c r="D26" s="1058"/>
      <c r="E26" s="1058"/>
    </row>
    <row r="27" spans="1:12" ht="30" customHeight="1" x14ac:dyDescent="0.25">
      <c r="A27" s="104" t="s">
        <v>304</v>
      </c>
      <c r="B27" s="1056">
        <f>B25/'Objectifs CO2'!C4</f>
        <v>6.7651427031854431E-3</v>
      </c>
      <c r="C27" s="1057"/>
      <c r="D27" s="1057"/>
      <c r="E27" s="1057"/>
    </row>
    <row r="28" spans="1:12" ht="30" customHeight="1" x14ac:dyDescent="0.25">
      <c r="A28" s="104" t="s">
        <v>22</v>
      </c>
      <c r="B28" s="999"/>
      <c r="C28" s="999"/>
      <c r="D28" s="999"/>
      <c r="E28" s="999"/>
    </row>
    <row r="29" spans="1:12" ht="30" customHeight="1" x14ac:dyDescent="0.25">
      <c r="A29" s="101" t="s">
        <v>257</v>
      </c>
      <c r="B29" s="999" t="s">
        <v>262</v>
      </c>
      <c r="C29" s="999"/>
      <c r="D29" s="999"/>
      <c r="E29" s="999"/>
    </row>
    <row r="31" spans="1:12" ht="23.25" customHeight="1" x14ac:dyDescent="0.25">
      <c r="A31" s="603" t="s">
        <v>1065</v>
      </c>
      <c r="B31" s="1003" t="s">
        <v>675</v>
      </c>
      <c r="C31" s="1003"/>
      <c r="D31" s="1003"/>
      <c r="E31" s="56" t="s">
        <v>676</v>
      </c>
    </row>
    <row r="32" spans="1:12"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ht="23.25" customHeight="1" x14ac:dyDescent="0.25">
      <c r="G46" s="1022" t="s">
        <v>965</v>
      </c>
      <c r="H46" s="1022"/>
      <c r="I46" s="1022"/>
      <c r="J46" s="1022"/>
      <c r="K46" s="1022"/>
      <c r="L46" s="1022"/>
    </row>
    <row r="47" spans="1:12" ht="23.25" customHeight="1" x14ac:dyDescent="0.25">
      <c r="A47" s="959" t="s">
        <v>966</v>
      </c>
      <c r="B47" s="1022"/>
      <c r="C47" s="1022"/>
      <c r="D47" s="1022"/>
      <c r="E47" s="1022"/>
      <c r="F47" s="1022"/>
      <c r="G47" s="1022"/>
      <c r="H47" s="1022"/>
      <c r="I47" s="1022"/>
      <c r="J47" s="1022"/>
      <c r="K47" s="1022"/>
      <c r="L47" s="1022"/>
    </row>
    <row r="48" spans="1:12" ht="23.25" customHeight="1" x14ac:dyDescent="0.25">
      <c r="A48" s="959"/>
      <c r="B48" s="1022"/>
      <c r="C48" s="1022"/>
      <c r="D48" s="1022"/>
      <c r="E48" s="1022"/>
      <c r="F48" s="1022"/>
      <c r="G48" s="1022"/>
      <c r="H48" s="1022"/>
      <c r="I48" s="1022"/>
      <c r="J48" s="1022"/>
      <c r="K48" s="1022"/>
      <c r="L48" s="1022"/>
    </row>
    <row r="49" spans="1:12" ht="23.25" customHeight="1" x14ac:dyDescent="0.25">
      <c r="A49" s="959"/>
      <c r="B49" s="1022"/>
      <c r="C49" s="1022"/>
      <c r="D49" s="1022"/>
      <c r="E49" s="1022"/>
      <c r="F49" s="1022"/>
      <c r="G49" s="1022"/>
      <c r="H49" s="1022"/>
      <c r="I49" s="1022"/>
      <c r="J49" s="1022"/>
      <c r="K49" s="1022"/>
      <c r="L49" s="1022"/>
    </row>
    <row r="50" spans="1:12" ht="23.25" customHeight="1" x14ac:dyDescent="0.25">
      <c r="A50" s="959"/>
      <c r="B50" s="1022"/>
      <c r="C50" s="1022"/>
      <c r="D50" s="1022"/>
      <c r="E50" s="1022"/>
      <c r="F50" s="1022"/>
      <c r="G50" s="1022"/>
      <c r="H50" s="1022"/>
      <c r="I50" s="1022"/>
      <c r="J50" s="1022"/>
      <c r="K50" s="1022"/>
      <c r="L50" s="1022"/>
    </row>
    <row r="51" spans="1:12" ht="23.25" customHeight="1" x14ac:dyDescent="0.25">
      <c r="A51" s="959"/>
      <c r="B51" s="1022"/>
      <c r="C51" s="1022"/>
      <c r="D51" s="1022"/>
      <c r="E51" s="1022"/>
      <c r="F51" s="1022"/>
      <c r="G51" s="1022"/>
      <c r="H51" s="1022"/>
      <c r="I51" s="1022"/>
      <c r="J51" s="1022"/>
      <c r="K51" s="1022"/>
      <c r="L51" s="1022"/>
    </row>
    <row r="52" spans="1:12" ht="23.25" customHeight="1" x14ac:dyDescent="0.25">
      <c r="A52" s="959" t="s">
        <v>967</v>
      </c>
      <c r="B52" s="1022"/>
      <c r="C52" s="1022"/>
      <c r="D52" s="1022"/>
      <c r="E52" s="1022"/>
      <c r="F52" s="1022"/>
      <c r="G52" s="1022"/>
      <c r="H52" s="1022"/>
      <c r="I52" s="1022"/>
      <c r="J52" s="1022"/>
      <c r="K52" s="1022"/>
      <c r="L52" s="1022"/>
    </row>
    <row r="53" spans="1:12" ht="23.25" customHeight="1" x14ac:dyDescent="0.25">
      <c r="A53" s="959"/>
      <c r="B53" s="1022"/>
      <c r="C53" s="1022"/>
      <c r="D53" s="1022"/>
      <c r="E53" s="1022"/>
      <c r="F53" s="1022"/>
      <c r="G53" s="1022"/>
      <c r="H53" s="1022"/>
      <c r="I53" s="1022"/>
      <c r="J53" s="1022"/>
      <c r="K53" s="1022"/>
      <c r="L53" s="1022"/>
    </row>
    <row r="54" spans="1:12" ht="23.25" customHeight="1" x14ac:dyDescent="0.25">
      <c r="A54" s="959"/>
      <c r="B54" s="1022"/>
      <c r="C54" s="1022"/>
      <c r="D54" s="1022"/>
      <c r="E54" s="1022"/>
      <c r="F54" s="1022"/>
      <c r="G54" s="1022"/>
      <c r="H54" s="1022"/>
      <c r="I54" s="1022"/>
      <c r="J54" s="1022"/>
      <c r="K54" s="1022"/>
      <c r="L54" s="1022"/>
    </row>
    <row r="55" spans="1:12" ht="23.25" customHeight="1" x14ac:dyDescent="0.25">
      <c r="A55" s="959"/>
      <c r="B55" s="1022"/>
      <c r="C55" s="1022"/>
      <c r="D55" s="1022"/>
      <c r="E55" s="1022"/>
      <c r="F55" s="1022"/>
      <c r="G55" s="1022"/>
      <c r="H55" s="1022"/>
      <c r="I55" s="1022"/>
      <c r="J55" s="1022"/>
      <c r="K55" s="1022"/>
      <c r="L55" s="1022"/>
    </row>
    <row r="56" spans="1:12" ht="23.25" customHeight="1" x14ac:dyDescent="0.25">
      <c r="A56" s="959"/>
      <c r="B56" s="1022"/>
      <c r="C56" s="1022"/>
      <c r="D56" s="1022"/>
      <c r="E56" s="1022"/>
      <c r="F56" s="1022"/>
      <c r="G56" s="1022"/>
      <c r="H56" s="1022"/>
      <c r="I56" s="1022"/>
      <c r="J56" s="1022"/>
      <c r="K56" s="1022"/>
      <c r="L56" s="1022"/>
    </row>
    <row r="57" spans="1:12" ht="23.25" customHeight="1" x14ac:dyDescent="0.25">
      <c r="A57" s="959"/>
      <c r="B57" s="1022"/>
      <c r="C57" s="1022"/>
      <c r="D57" s="1022"/>
      <c r="E57" s="1022"/>
      <c r="F57" s="1022"/>
      <c r="G57" s="1022"/>
      <c r="H57" s="1022"/>
      <c r="I57" s="1022"/>
      <c r="J57" s="1022"/>
      <c r="K57" s="1022"/>
      <c r="L57" s="1022"/>
    </row>
    <row r="58" spans="1:12" ht="23.25" customHeight="1" x14ac:dyDescent="0.25">
      <c r="A58" s="959"/>
      <c r="B58" s="1022"/>
      <c r="C58" s="1022"/>
      <c r="D58" s="1022"/>
      <c r="E58" s="1022"/>
      <c r="F58" s="1022"/>
      <c r="G58" s="1022"/>
      <c r="H58" s="1022"/>
      <c r="I58" s="1022"/>
      <c r="J58" s="1022"/>
      <c r="K58" s="1022"/>
      <c r="L58" s="1022"/>
    </row>
    <row r="59" spans="1:12" ht="23.25" customHeight="1" x14ac:dyDescent="0.25">
      <c r="A59" s="959"/>
      <c r="B59" s="1022"/>
      <c r="C59" s="1022"/>
      <c r="D59" s="1022"/>
      <c r="E59" s="1022"/>
      <c r="F59" s="1022"/>
      <c r="G59" s="1022"/>
      <c r="H59" s="1022"/>
      <c r="I59" s="1022"/>
      <c r="J59" s="1022"/>
      <c r="K59" s="1022"/>
      <c r="L59" s="1022"/>
    </row>
    <row r="60" spans="1:12" ht="23.25" customHeight="1" x14ac:dyDescent="0.25">
      <c r="A60" s="959"/>
      <c r="B60" s="1022"/>
      <c r="C60" s="1022"/>
      <c r="D60" s="1022"/>
      <c r="E60" s="1022"/>
      <c r="F60" s="1022"/>
      <c r="G60" s="1022"/>
      <c r="H60" s="1022"/>
      <c r="I60" s="1022"/>
      <c r="J60" s="1022"/>
      <c r="K60" s="1022"/>
      <c r="L60" s="1022"/>
    </row>
    <row r="61" spans="1:12" ht="23.25" customHeight="1" x14ac:dyDescent="0.25">
      <c r="A61" s="959"/>
      <c r="B61" s="1022"/>
      <c r="C61" s="1022"/>
      <c r="D61" s="1022"/>
      <c r="E61" s="1022"/>
      <c r="F61" s="1022"/>
      <c r="G61" s="1022"/>
      <c r="H61" s="1022"/>
      <c r="I61" s="1022"/>
      <c r="J61" s="1022"/>
      <c r="K61" s="1022"/>
      <c r="L61" s="1022"/>
    </row>
    <row r="62" spans="1:12" ht="23.25" customHeight="1" x14ac:dyDescent="0.25">
      <c r="A62" s="959"/>
      <c r="B62" s="1022"/>
      <c r="C62" s="1022"/>
      <c r="D62" s="1022"/>
      <c r="E62" s="1022"/>
      <c r="F62" s="1022"/>
      <c r="G62" s="1022"/>
      <c r="H62" s="1022"/>
      <c r="I62" s="1022"/>
      <c r="J62" s="1022"/>
      <c r="K62" s="1022"/>
      <c r="L62" s="1022"/>
    </row>
    <row r="63" spans="1:12" ht="23.25" customHeight="1" x14ac:dyDescent="0.25">
      <c r="A63" s="959" t="s">
        <v>968</v>
      </c>
      <c r="B63" s="1022"/>
      <c r="C63" s="1022"/>
      <c r="D63" s="1022"/>
      <c r="E63" s="1022"/>
      <c r="F63" s="1022"/>
      <c r="G63" s="1022"/>
      <c r="H63" s="1022"/>
      <c r="I63" s="1022"/>
      <c r="J63" s="1022"/>
      <c r="K63" s="1022"/>
      <c r="L63" s="1022"/>
    </row>
    <row r="64" spans="1:12" ht="23.25" customHeight="1" x14ac:dyDescent="0.25">
      <c r="A64" s="959"/>
      <c r="B64" s="1022"/>
      <c r="C64" s="1022"/>
      <c r="D64" s="1022"/>
      <c r="E64" s="1022"/>
      <c r="F64" s="1022"/>
      <c r="G64" s="1022"/>
      <c r="H64" s="1022"/>
      <c r="I64" s="1022"/>
      <c r="J64" s="1022"/>
      <c r="K64" s="1022"/>
      <c r="L64" s="1022"/>
    </row>
    <row r="65" spans="1:12" ht="23.25" customHeight="1" x14ac:dyDescent="0.25">
      <c r="A65" s="959"/>
      <c r="B65" s="1022"/>
      <c r="C65" s="1022"/>
      <c r="D65" s="1022"/>
      <c r="E65" s="1022"/>
      <c r="F65" s="1022"/>
      <c r="G65" s="1022"/>
      <c r="H65" s="1022"/>
      <c r="I65" s="1022"/>
      <c r="J65" s="1022"/>
      <c r="K65" s="1022"/>
      <c r="L65" s="1022"/>
    </row>
    <row r="66" spans="1:12" ht="23.25" customHeight="1" x14ac:dyDescent="0.25">
      <c r="A66" s="959"/>
      <c r="B66" s="1022"/>
      <c r="C66" s="1022"/>
      <c r="D66" s="1022"/>
      <c r="E66" s="1022"/>
      <c r="F66" s="1022"/>
      <c r="G66" s="1022"/>
      <c r="H66" s="1022"/>
      <c r="I66" s="1022"/>
      <c r="J66" s="1022"/>
      <c r="K66" s="1022"/>
      <c r="L66" s="1022"/>
    </row>
    <row r="67" spans="1:12" ht="23.25" customHeight="1" x14ac:dyDescent="0.25">
      <c r="A67" s="959"/>
      <c r="B67" s="1022"/>
      <c r="C67" s="1022"/>
      <c r="D67" s="1022"/>
      <c r="E67" s="1022"/>
      <c r="F67" s="1022"/>
      <c r="G67" s="1022"/>
      <c r="H67" s="1022"/>
      <c r="I67" s="1022"/>
      <c r="J67" s="1022"/>
      <c r="K67" s="1022"/>
      <c r="L67" s="1022"/>
    </row>
    <row r="68" spans="1:12" ht="23.25" customHeight="1" x14ac:dyDescent="0.25">
      <c r="A68" s="959"/>
      <c r="B68" s="1022"/>
      <c r="C68" s="1022"/>
      <c r="D68" s="1022"/>
      <c r="E68" s="1022"/>
      <c r="F68" s="1022"/>
      <c r="G68" s="1022"/>
      <c r="H68" s="1022"/>
      <c r="I68" s="1022"/>
      <c r="J68" s="1022"/>
      <c r="K68" s="1022"/>
      <c r="L68" s="1022"/>
    </row>
    <row r="69" spans="1:12" ht="23.25" customHeight="1"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19:E19"/>
    <mergeCell ref="G46:L46"/>
    <mergeCell ref="A47:A51"/>
    <mergeCell ref="B47:F47"/>
    <mergeCell ref="G47:L47"/>
    <mergeCell ref="B48:F48"/>
    <mergeCell ref="G48:L48"/>
    <mergeCell ref="B49:F49"/>
    <mergeCell ref="G49:L49"/>
    <mergeCell ref="B50:F50"/>
    <mergeCell ref="G50:L50"/>
    <mergeCell ref="B51:F51"/>
    <mergeCell ref="G51:L51"/>
    <mergeCell ref="H35:I35"/>
    <mergeCell ref="B36:D36"/>
    <mergeCell ref="B42:D42"/>
    <mergeCell ref="B44:D44"/>
    <mergeCell ref="B37:D37"/>
    <mergeCell ref="B38:D38"/>
    <mergeCell ref="B39:D39"/>
    <mergeCell ref="B31:D31"/>
    <mergeCell ref="B32:D32"/>
    <mergeCell ref="G32:I32"/>
    <mergeCell ref="B29:E29"/>
    <mergeCell ref="Z5:AB5"/>
    <mergeCell ref="Z6:AA6"/>
    <mergeCell ref="Z8:AA8"/>
    <mergeCell ref="Z9:AA9"/>
    <mergeCell ref="Z10:AA10"/>
    <mergeCell ref="G7:H7"/>
    <mergeCell ref="B15:E15"/>
    <mergeCell ref="B16:E16"/>
    <mergeCell ref="B17:E17"/>
    <mergeCell ref="Z16:AA16"/>
    <mergeCell ref="Z11:AA11"/>
    <mergeCell ref="Z12:AA12"/>
    <mergeCell ref="Z13:AA13"/>
    <mergeCell ref="Z14:AA14"/>
    <mergeCell ref="Z15:AA15"/>
    <mergeCell ref="B13:E13"/>
    <mergeCell ref="B14:E14"/>
    <mergeCell ref="B12:E12"/>
    <mergeCell ref="B11:E11"/>
    <mergeCell ref="G8:G10"/>
    <mergeCell ref="B20:E20"/>
    <mergeCell ref="B28:E28"/>
    <mergeCell ref="B27:E27"/>
    <mergeCell ref="B21:E21"/>
    <mergeCell ref="B22:E22"/>
    <mergeCell ref="B23:E23"/>
    <mergeCell ref="B24:E24"/>
    <mergeCell ref="B25:E25"/>
    <mergeCell ref="B26:E26"/>
    <mergeCell ref="B18:E18"/>
    <mergeCell ref="B40:D40"/>
    <mergeCell ref="B41:D41"/>
    <mergeCell ref="A1:E1"/>
    <mergeCell ref="B2:E2"/>
    <mergeCell ref="G2:H2"/>
    <mergeCell ref="B3:E3"/>
    <mergeCell ref="G3:H3"/>
    <mergeCell ref="B4:E4"/>
    <mergeCell ref="B5:E5"/>
    <mergeCell ref="B6:E6"/>
    <mergeCell ref="B7:E7"/>
    <mergeCell ref="G6:H6"/>
    <mergeCell ref="G4:H4"/>
    <mergeCell ref="G5:H5"/>
    <mergeCell ref="B33:D33"/>
    <mergeCell ref="H33:I33"/>
    <mergeCell ref="G40:I40"/>
    <mergeCell ref="B34:D34"/>
    <mergeCell ref="H34:I34"/>
    <mergeCell ref="B35:D35"/>
    <mergeCell ref="B8:E8"/>
    <mergeCell ref="B9:E9"/>
    <mergeCell ref="B10:E10"/>
  </mergeCells>
  <conditionalFormatting sqref="B5">
    <cfRule type="containsText" dxfId="335" priority="1" operator="containsText" text="Terminé">
      <formula>NOT(ISERROR(SEARCH("Terminé",B5)))</formula>
    </cfRule>
    <cfRule type="containsText" dxfId="334" priority="2" operator="containsText" text="En cours">
      <formula>NOT(ISERROR(SEARCH("En cours",B5)))</formula>
    </cfRule>
    <cfRule type="containsText" dxfId="33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4" zoomScale="115" zoomScaleNormal="115" workbookViewId="0">
      <selection sqref="A1:E1"/>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1001" t="s">
        <v>937</v>
      </c>
      <c r="B1" s="1001"/>
      <c r="C1" s="1001"/>
      <c r="D1" s="1001"/>
      <c r="E1" s="1001"/>
      <c r="F1" s="276"/>
      <c r="G1" s="7"/>
      <c r="H1" s="7"/>
    </row>
    <row r="2" spans="1:28" ht="19.5" customHeight="1" x14ac:dyDescent="0.25">
      <c r="A2" s="412" t="s">
        <v>750</v>
      </c>
      <c r="B2" s="1002" t="s">
        <v>773</v>
      </c>
      <c r="C2" s="1002"/>
      <c r="D2" s="1002"/>
      <c r="E2" s="1002"/>
      <c r="F2" s="7"/>
      <c r="G2" s="986" t="s">
        <v>751</v>
      </c>
      <c r="H2" s="986"/>
    </row>
    <row r="3" spans="1:28" ht="19.5" customHeight="1" x14ac:dyDescent="0.25">
      <c r="A3" s="409" t="s">
        <v>743</v>
      </c>
      <c r="B3" s="987" t="s">
        <v>434</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96" t="s">
        <v>127</v>
      </c>
      <c r="C8" s="996"/>
      <c r="D8" s="996"/>
      <c r="E8" s="996"/>
      <c r="G8" s="997" t="s">
        <v>936</v>
      </c>
      <c r="Z8" s="1028" t="s">
        <v>611</v>
      </c>
      <c r="AA8" s="1029"/>
      <c r="AB8" s="357">
        <v>0.26819999999999999</v>
      </c>
    </row>
    <row r="9" spans="1:28" ht="24" customHeight="1" x14ac:dyDescent="0.25">
      <c r="A9" s="98" t="s">
        <v>0</v>
      </c>
      <c r="B9" s="996" t="s">
        <v>979</v>
      </c>
      <c r="C9" s="996"/>
      <c r="D9" s="996"/>
      <c r="E9" s="996"/>
      <c r="G9" s="997"/>
      <c r="Z9" s="1028" t="s">
        <v>612</v>
      </c>
      <c r="AA9" s="1029"/>
      <c r="AB9" s="357">
        <v>3.1300000000000001E-2</v>
      </c>
    </row>
    <row r="10" spans="1:28" ht="54" customHeight="1" x14ac:dyDescent="0.25">
      <c r="A10" s="102" t="s">
        <v>2</v>
      </c>
      <c r="B10" s="1008" t="s">
        <v>860</v>
      </c>
      <c r="C10" s="1008"/>
      <c r="D10" s="1008"/>
      <c r="E10" s="1008"/>
      <c r="G10" s="997"/>
      <c r="H10" s="7"/>
      <c r="Z10" s="1028"/>
      <c r="AA10" s="1029"/>
      <c r="AB10" s="357"/>
    </row>
    <row r="11" spans="1:28" ht="54" customHeight="1" x14ac:dyDescent="0.25">
      <c r="A11" s="102" t="s">
        <v>29</v>
      </c>
      <c r="B11" s="1059" t="s">
        <v>859</v>
      </c>
      <c r="C11" s="1060"/>
      <c r="D11" s="1060"/>
      <c r="E11" s="1061"/>
      <c r="G11" s="225">
        <v>0</v>
      </c>
      <c r="H11" s="225" t="s">
        <v>25</v>
      </c>
      <c r="Z11" s="1028" t="s">
        <v>613</v>
      </c>
      <c r="AA11" s="1029"/>
      <c r="AB11" s="357">
        <v>0.26819999999999999</v>
      </c>
    </row>
    <row r="12" spans="1:28" ht="30" customHeight="1" x14ac:dyDescent="0.25">
      <c r="A12" s="102" t="s">
        <v>14</v>
      </c>
      <c r="B12" s="1010" t="s">
        <v>607</v>
      </c>
      <c r="C12" s="1010"/>
      <c r="D12" s="1010"/>
      <c r="E12" s="1010"/>
      <c r="G12" s="225"/>
      <c r="H12" s="225" t="s">
        <v>7</v>
      </c>
      <c r="Z12" s="1028" t="s">
        <v>614</v>
      </c>
      <c r="AA12" s="1029"/>
      <c r="AB12" s="357">
        <v>1.18E-2</v>
      </c>
    </row>
    <row r="13" spans="1:28" ht="30" customHeight="1" x14ac:dyDescent="0.25">
      <c r="A13" s="102" t="s">
        <v>3</v>
      </c>
      <c r="B13" s="1010"/>
      <c r="C13" s="1010"/>
      <c r="D13" s="1010"/>
      <c r="E13" s="1010"/>
      <c r="G13" s="604">
        <v>250</v>
      </c>
      <c r="H13" s="604" t="s">
        <v>249</v>
      </c>
      <c r="Z13" s="1028" t="s">
        <v>615</v>
      </c>
      <c r="AA13" s="1029"/>
      <c r="AB13" s="358">
        <v>0.36854545454545451</v>
      </c>
    </row>
    <row r="14" spans="1:28" ht="30" customHeight="1" x14ac:dyDescent="0.25">
      <c r="A14" s="102" t="s">
        <v>15</v>
      </c>
      <c r="B14" s="1010"/>
      <c r="C14" s="1010"/>
      <c r="D14" s="1010"/>
      <c r="E14" s="1010"/>
      <c r="Z14" s="1028" t="s">
        <v>616</v>
      </c>
      <c r="AA14" s="1029"/>
      <c r="AB14" s="357">
        <v>0.26819999999999999</v>
      </c>
    </row>
    <row r="15" spans="1:28" ht="30" customHeight="1" x14ac:dyDescent="0.25">
      <c r="A15" s="102" t="s">
        <v>4</v>
      </c>
      <c r="B15" s="1010">
        <v>2020</v>
      </c>
      <c r="C15" s="1010"/>
      <c r="D15" s="1010"/>
      <c r="E15" s="1010"/>
      <c r="G15" s="59" t="s">
        <v>293</v>
      </c>
      <c r="H15" s="59" t="s">
        <v>128</v>
      </c>
      <c r="I15" s="59" t="s">
        <v>120</v>
      </c>
      <c r="J15" s="60" t="s">
        <v>133</v>
      </c>
      <c r="K15" s="60" t="s">
        <v>129</v>
      </c>
      <c r="L15" s="60" t="s">
        <v>297</v>
      </c>
      <c r="M15" s="60" t="s">
        <v>130</v>
      </c>
      <c r="Z15" s="1028" t="s">
        <v>578</v>
      </c>
      <c r="AA15" s="1029"/>
      <c r="AB15" s="357">
        <v>0.27700000000000002</v>
      </c>
    </row>
    <row r="16" spans="1:28" ht="30" customHeight="1" x14ac:dyDescent="0.25">
      <c r="A16" s="102" t="s">
        <v>5</v>
      </c>
      <c r="B16" s="1010">
        <v>2030</v>
      </c>
      <c r="C16" s="1010"/>
      <c r="D16" s="1010"/>
      <c r="E16" s="1010"/>
      <c r="G16" s="92">
        <v>250</v>
      </c>
      <c r="H16" s="92">
        <v>0.15</v>
      </c>
      <c r="I16" s="92">
        <v>0.24</v>
      </c>
      <c r="J16" s="91">
        <v>3247</v>
      </c>
      <c r="K16" s="208">
        <f>'Objectifs CO2'!X32</f>
        <v>16598.478324205487</v>
      </c>
      <c r="L16" s="91">
        <f>AB15</f>
        <v>0.27700000000000002</v>
      </c>
      <c r="M16" s="91">
        <v>0.17299999999999999</v>
      </c>
      <c r="Z16" s="1028" t="s">
        <v>579</v>
      </c>
      <c r="AA16" s="1029"/>
      <c r="AB16" s="357">
        <v>0.20269999999999999</v>
      </c>
    </row>
    <row r="17" spans="1:9" ht="30" customHeight="1" x14ac:dyDescent="0.25">
      <c r="A17" s="102" t="s">
        <v>6</v>
      </c>
      <c r="B17" s="1012">
        <f>SUM(G11:L11)</f>
        <v>0</v>
      </c>
      <c r="C17" s="1012"/>
      <c r="D17" s="1012"/>
      <c r="E17" s="1012"/>
      <c r="H17" s="64">
        <f>K16/J16</f>
        <v>5.1119428162012586</v>
      </c>
    </row>
    <row r="18" spans="1:9" ht="30" customHeight="1" x14ac:dyDescent="0.25">
      <c r="A18" s="102" t="s">
        <v>7</v>
      </c>
      <c r="B18" s="1012">
        <f>SUM(G12:L12)</f>
        <v>0</v>
      </c>
      <c r="C18" s="1012"/>
      <c r="D18" s="1012"/>
      <c r="E18" s="1012"/>
    </row>
    <row r="19" spans="1:9" ht="30" customHeight="1" x14ac:dyDescent="0.25">
      <c r="A19" s="99" t="s">
        <v>307</v>
      </c>
      <c r="B19" s="1039">
        <f>H17*H16*G16*1000</f>
        <v>191697.85560754719</v>
      </c>
      <c r="C19" s="1040"/>
      <c r="D19" s="1040"/>
      <c r="E19" s="1040"/>
      <c r="G19" s="2"/>
      <c r="H19" s="2"/>
    </row>
    <row r="20" spans="1:9" ht="30" customHeight="1" x14ac:dyDescent="0.25">
      <c r="A20" s="96" t="s">
        <v>306</v>
      </c>
      <c r="B20" s="1041"/>
      <c r="C20" s="1042"/>
      <c r="D20" s="1042"/>
      <c r="E20" s="1042"/>
      <c r="G20" s="2"/>
      <c r="H20" s="2"/>
    </row>
    <row r="21" spans="1:9" ht="30" customHeight="1" x14ac:dyDescent="0.25">
      <c r="A21" s="102" t="s">
        <v>8</v>
      </c>
      <c r="B21" s="1000">
        <f>B19*I16</f>
        <v>46007.485345811321</v>
      </c>
      <c r="C21" s="1000"/>
      <c r="D21" s="1000"/>
      <c r="E21" s="1000"/>
    </row>
    <row r="22" spans="1:9" ht="30" customHeight="1" x14ac:dyDescent="0.25">
      <c r="A22" s="102" t="s">
        <v>9</v>
      </c>
      <c r="B22" s="1000"/>
      <c r="C22" s="1000"/>
      <c r="D22" s="1000"/>
      <c r="E22" s="1000"/>
    </row>
    <row r="23" spans="1:9" ht="30" customHeight="1" x14ac:dyDescent="0.25">
      <c r="A23" s="102" t="s">
        <v>301</v>
      </c>
      <c r="B23" s="1016">
        <f>B17/(B21+B22)</f>
        <v>0</v>
      </c>
      <c r="C23" s="1016"/>
      <c r="D23" s="1016"/>
      <c r="E23" s="1016"/>
    </row>
    <row r="24" spans="1:9" ht="30" customHeight="1" x14ac:dyDescent="0.25">
      <c r="A24" s="102" t="s">
        <v>302</v>
      </c>
      <c r="B24" s="1017">
        <f>(B17-B18)/(B21+B22)</f>
        <v>0</v>
      </c>
      <c r="C24" s="1017"/>
      <c r="D24" s="1017"/>
      <c r="E24" s="1017"/>
    </row>
    <row r="25" spans="1:9" ht="30" customHeight="1" x14ac:dyDescent="0.25">
      <c r="A25" s="103" t="s">
        <v>305</v>
      </c>
      <c r="B25" s="1062">
        <f>B19*L16/1000</f>
        <v>53.100306003290576</v>
      </c>
      <c r="C25" s="1062"/>
      <c r="D25" s="1062"/>
      <c r="E25" s="1062"/>
    </row>
    <row r="26" spans="1:9" ht="30" customHeight="1" x14ac:dyDescent="0.25">
      <c r="A26" s="104" t="s">
        <v>303</v>
      </c>
      <c r="B26" s="1058">
        <f>+B25/'Objectifs CO2'!C8</f>
        <v>4.8981639562289759E-3</v>
      </c>
      <c r="C26" s="1058"/>
      <c r="D26" s="1058"/>
      <c r="E26" s="1058"/>
    </row>
    <row r="27" spans="1:9" ht="30" customHeight="1" x14ac:dyDescent="0.25">
      <c r="A27" s="104" t="s">
        <v>304</v>
      </c>
      <c r="B27" s="1056">
        <f>B25/'Objectifs CO2'!C4</f>
        <v>2.4490819781144879E-3</v>
      </c>
      <c r="C27" s="1057"/>
      <c r="D27" s="1057"/>
      <c r="E27" s="1057"/>
    </row>
    <row r="28" spans="1:9" ht="30" customHeight="1" x14ac:dyDescent="0.25">
      <c r="A28" s="104" t="s">
        <v>22</v>
      </c>
      <c r="B28" s="999"/>
      <c r="C28" s="999"/>
      <c r="D28" s="999"/>
      <c r="E28" s="999"/>
    </row>
    <row r="29" spans="1:9" ht="30" customHeight="1" x14ac:dyDescent="0.25">
      <c r="A29" s="101" t="s">
        <v>257</v>
      </c>
      <c r="B29" s="999" t="s">
        <v>262</v>
      </c>
      <c r="C29" s="999"/>
      <c r="D29" s="999"/>
      <c r="E29" s="999"/>
    </row>
    <row r="31" spans="1:9" ht="23.25" customHeight="1" x14ac:dyDescent="0.25">
      <c r="A31" s="603" t="s">
        <v>1065</v>
      </c>
      <c r="B31" s="1003" t="s">
        <v>675</v>
      </c>
      <c r="C31" s="1003"/>
      <c r="D31" s="1003"/>
      <c r="E31" s="56"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ht="23.25" customHeight="1" x14ac:dyDescent="0.25">
      <c r="G46" s="1022" t="s">
        <v>965</v>
      </c>
      <c r="H46" s="1022"/>
      <c r="I46" s="1022"/>
      <c r="J46" s="1022"/>
      <c r="K46" s="1022"/>
      <c r="L46" s="1022"/>
    </row>
    <row r="47" spans="1:12" ht="23.25" customHeight="1" x14ac:dyDescent="0.25">
      <c r="A47" s="959" t="s">
        <v>966</v>
      </c>
      <c r="B47" s="1022"/>
      <c r="C47" s="1022"/>
      <c r="D47" s="1022"/>
      <c r="E47" s="1022"/>
      <c r="F47" s="1022"/>
      <c r="G47" s="1022"/>
      <c r="H47" s="1022"/>
      <c r="I47" s="1022"/>
      <c r="J47" s="1022"/>
      <c r="K47" s="1022"/>
      <c r="L47" s="1022"/>
    </row>
    <row r="48" spans="1:12" ht="23.25" customHeight="1" x14ac:dyDescent="0.25">
      <c r="A48" s="959"/>
      <c r="B48" s="1022"/>
      <c r="C48" s="1022"/>
      <c r="D48" s="1022"/>
      <c r="E48" s="1022"/>
      <c r="F48" s="1022"/>
      <c r="G48" s="1022"/>
      <c r="H48" s="1022"/>
      <c r="I48" s="1022"/>
      <c r="J48" s="1022"/>
      <c r="K48" s="1022"/>
      <c r="L48" s="1022"/>
    </row>
    <row r="49" spans="1:12" ht="23.25" customHeight="1" x14ac:dyDescent="0.25">
      <c r="A49" s="959"/>
      <c r="B49" s="1022"/>
      <c r="C49" s="1022"/>
      <c r="D49" s="1022"/>
      <c r="E49" s="1022"/>
      <c r="F49" s="1022"/>
      <c r="G49" s="1022"/>
      <c r="H49" s="1022"/>
      <c r="I49" s="1022"/>
      <c r="J49" s="1022"/>
      <c r="K49" s="1022"/>
      <c r="L49" s="1022"/>
    </row>
    <row r="50" spans="1:12" ht="23.25" customHeight="1" x14ac:dyDescent="0.25">
      <c r="A50" s="959"/>
      <c r="B50" s="1022"/>
      <c r="C50" s="1022"/>
      <c r="D50" s="1022"/>
      <c r="E50" s="1022"/>
      <c r="F50" s="1022"/>
      <c r="G50" s="1022"/>
      <c r="H50" s="1022"/>
      <c r="I50" s="1022"/>
      <c r="J50" s="1022"/>
      <c r="K50" s="1022"/>
      <c r="L50" s="1022"/>
    </row>
    <row r="51" spans="1:12" ht="23.25" customHeight="1" x14ac:dyDescent="0.25">
      <c r="A51" s="959"/>
      <c r="B51" s="1022"/>
      <c r="C51" s="1022"/>
      <c r="D51" s="1022"/>
      <c r="E51" s="1022"/>
      <c r="F51" s="1022"/>
      <c r="G51" s="1022"/>
      <c r="H51" s="1022"/>
      <c r="I51" s="1022"/>
      <c r="J51" s="1022"/>
      <c r="K51" s="1022"/>
      <c r="L51" s="1022"/>
    </row>
    <row r="52" spans="1:12" ht="23.25" customHeight="1" x14ac:dyDescent="0.25">
      <c r="A52" s="959" t="s">
        <v>967</v>
      </c>
      <c r="B52" s="1022"/>
      <c r="C52" s="1022"/>
      <c r="D52" s="1022"/>
      <c r="E52" s="1022"/>
      <c r="F52" s="1022"/>
      <c r="G52" s="1022"/>
      <c r="H52" s="1022"/>
      <c r="I52" s="1022"/>
      <c r="J52" s="1022"/>
      <c r="K52" s="1022"/>
      <c r="L52" s="1022"/>
    </row>
    <row r="53" spans="1:12" ht="23.25" customHeight="1" x14ac:dyDescent="0.25">
      <c r="A53" s="959"/>
      <c r="B53" s="1022"/>
      <c r="C53" s="1022"/>
      <c r="D53" s="1022"/>
      <c r="E53" s="1022"/>
      <c r="F53" s="1022"/>
      <c r="G53" s="1022"/>
      <c r="H53" s="1022"/>
      <c r="I53" s="1022"/>
      <c r="J53" s="1022"/>
      <c r="K53" s="1022"/>
      <c r="L53" s="1022"/>
    </row>
    <row r="54" spans="1:12" ht="23.25" customHeight="1" x14ac:dyDescent="0.25">
      <c r="A54" s="959"/>
      <c r="B54" s="1022"/>
      <c r="C54" s="1022"/>
      <c r="D54" s="1022"/>
      <c r="E54" s="1022"/>
      <c r="F54" s="1022"/>
      <c r="G54" s="1022"/>
      <c r="H54" s="1022"/>
      <c r="I54" s="1022"/>
      <c r="J54" s="1022"/>
      <c r="K54" s="1022"/>
      <c r="L54" s="1022"/>
    </row>
    <row r="55" spans="1:12" ht="23.25" customHeight="1" x14ac:dyDescent="0.25">
      <c r="A55" s="959"/>
      <c r="B55" s="1022"/>
      <c r="C55" s="1022"/>
      <c r="D55" s="1022"/>
      <c r="E55" s="1022"/>
      <c r="F55" s="1022"/>
      <c r="G55" s="1022"/>
      <c r="H55" s="1022"/>
      <c r="I55" s="1022"/>
      <c r="J55" s="1022"/>
      <c r="K55" s="1022"/>
      <c r="L55" s="1022"/>
    </row>
    <row r="56" spans="1:12" ht="23.25" customHeight="1" x14ac:dyDescent="0.25">
      <c r="A56" s="959"/>
      <c r="B56" s="1022"/>
      <c r="C56" s="1022"/>
      <c r="D56" s="1022"/>
      <c r="E56" s="1022"/>
      <c r="F56" s="1022"/>
      <c r="G56" s="1022"/>
      <c r="H56" s="1022"/>
      <c r="I56" s="1022"/>
      <c r="J56" s="1022"/>
      <c r="K56" s="1022"/>
      <c r="L56" s="1022"/>
    </row>
    <row r="57" spans="1:12" ht="23.25" customHeight="1" x14ac:dyDescent="0.25">
      <c r="A57" s="959"/>
      <c r="B57" s="1022"/>
      <c r="C57" s="1022"/>
      <c r="D57" s="1022"/>
      <c r="E57" s="1022"/>
      <c r="F57" s="1022"/>
      <c r="G57" s="1022"/>
      <c r="H57" s="1022"/>
      <c r="I57" s="1022"/>
      <c r="J57" s="1022"/>
      <c r="K57" s="1022"/>
      <c r="L57" s="1022"/>
    </row>
    <row r="58" spans="1:12" ht="23.25" customHeight="1" x14ac:dyDescent="0.25">
      <c r="A58" s="959"/>
      <c r="B58" s="1022"/>
      <c r="C58" s="1022"/>
      <c r="D58" s="1022"/>
      <c r="E58" s="1022"/>
      <c r="F58" s="1022"/>
      <c r="G58" s="1022"/>
      <c r="H58" s="1022"/>
      <c r="I58" s="1022"/>
      <c r="J58" s="1022"/>
      <c r="K58" s="1022"/>
      <c r="L58" s="1022"/>
    </row>
    <row r="59" spans="1:12" ht="23.25" customHeight="1" x14ac:dyDescent="0.25">
      <c r="A59" s="959"/>
      <c r="B59" s="1022"/>
      <c r="C59" s="1022"/>
      <c r="D59" s="1022"/>
      <c r="E59" s="1022"/>
      <c r="F59" s="1022"/>
      <c r="G59" s="1022"/>
      <c r="H59" s="1022"/>
      <c r="I59" s="1022"/>
      <c r="J59" s="1022"/>
      <c r="K59" s="1022"/>
      <c r="L59" s="1022"/>
    </row>
    <row r="60" spans="1:12" ht="23.25" customHeight="1" x14ac:dyDescent="0.25">
      <c r="A60" s="959"/>
      <c r="B60" s="1022"/>
      <c r="C60" s="1022"/>
      <c r="D60" s="1022"/>
      <c r="E60" s="1022"/>
      <c r="F60" s="1022"/>
      <c r="G60" s="1022"/>
      <c r="H60" s="1022"/>
      <c r="I60" s="1022"/>
      <c r="J60" s="1022"/>
      <c r="K60" s="1022"/>
      <c r="L60" s="1022"/>
    </row>
    <row r="61" spans="1:12" ht="23.25" customHeight="1" x14ac:dyDescent="0.25">
      <c r="A61" s="959"/>
      <c r="B61" s="1022"/>
      <c r="C61" s="1022"/>
      <c r="D61" s="1022"/>
      <c r="E61" s="1022"/>
      <c r="F61" s="1022"/>
      <c r="G61" s="1022"/>
      <c r="H61" s="1022"/>
      <c r="I61" s="1022"/>
      <c r="J61" s="1022"/>
      <c r="K61" s="1022"/>
      <c r="L61" s="1022"/>
    </row>
    <row r="62" spans="1:12" ht="23.25" customHeight="1" x14ac:dyDescent="0.25">
      <c r="A62" s="959"/>
      <c r="B62" s="1022"/>
      <c r="C62" s="1022"/>
      <c r="D62" s="1022"/>
      <c r="E62" s="1022"/>
      <c r="F62" s="1022"/>
      <c r="G62" s="1022"/>
      <c r="H62" s="1022"/>
      <c r="I62" s="1022"/>
      <c r="J62" s="1022"/>
      <c r="K62" s="1022"/>
      <c r="L62" s="1022"/>
    </row>
    <row r="63" spans="1:12" ht="23.25" customHeight="1" x14ac:dyDescent="0.25">
      <c r="A63" s="959" t="s">
        <v>968</v>
      </c>
      <c r="B63" s="1022"/>
      <c r="C63" s="1022"/>
      <c r="D63" s="1022"/>
      <c r="E63" s="1022"/>
      <c r="F63" s="1022"/>
      <c r="G63" s="1022"/>
      <c r="H63" s="1022"/>
      <c r="I63" s="1022"/>
      <c r="J63" s="1022"/>
      <c r="K63" s="1022"/>
      <c r="L63" s="1022"/>
    </row>
    <row r="64" spans="1:12" ht="23.25" customHeight="1" x14ac:dyDescent="0.25">
      <c r="A64" s="959"/>
      <c r="B64" s="1022"/>
      <c r="C64" s="1022"/>
      <c r="D64" s="1022"/>
      <c r="E64" s="1022"/>
      <c r="F64" s="1022"/>
      <c r="G64" s="1022"/>
      <c r="H64" s="1022"/>
      <c r="I64" s="1022"/>
      <c r="J64" s="1022"/>
      <c r="K64" s="1022"/>
      <c r="L64" s="1022"/>
    </row>
    <row r="65" spans="1:12" ht="23.25" customHeight="1" x14ac:dyDescent="0.25">
      <c r="A65" s="959"/>
      <c r="B65" s="1022"/>
      <c r="C65" s="1022"/>
      <c r="D65" s="1022"/>
      <c r="E65" s="1022"/>
      <c r="F65" s="1022"/>
      <c r="G65" s="1022"/>
      <c r="H65" s="1022"/>
      <c r="I65" s="1022"/>
      <c r="J65" s="1022"/>
      <c r="K65" s="1022"/>
      <c r="L65" s="1022"/>
    </row>
    <row r="66" spans="1:12" ht="23.25" customHeight="1" x14ac:dyDescent="0.25">
      <c r="A66" s="959"/>
      <c r="B66" s="1022"/>
      <c r="C66" s="1022"/>
      <c r="D66" s="1022"/>
      <c r="E66" s="1022"/>
      <c r="F66" s="1022"/>
      <c r="G66" s="1022"/>
      <c r="H66" s="1022"/>
      <c r="I66" s="1022"/>
      <c r="J66" s="1022"/>
      <c r="K66" s="1022"/>
      <c r="L66" s="1022"/>
    </row>
    <row r="67" spans="1:12" ht="23.25" customHeight="1" x14ac:dyDescent="0.25">
      <c r="A67" s="959"/>
      <c r="B67" s="1022"/>
      <c r="C67" s="1022"/>
      <c r="D67" s="1022"/>
      <c r="E67" s="1022"/>
      <c r="F67" s="1022"/>
      <c r="G67" s="1022"/>
      <c r="H67" s="1022"/>
      <c r="I67" s="1022"/>
      <c r="J67" s="1022"/>
      <c r="K67" s="1022"/>
      <c r="L67" s="1022"/>
    </row>
    <row r="68" spans="1:12" ht="23.25" customHeight="1" x14ac:dyDescent="0.25">
      <c r="A68" s="959"/>
      <c r="B68" s="1022"/>
      <c r="C68" s="1022"/>
      <c r="D68" s="1022"/>
      <c r="E68" s="1022"/>
      <c r="F68" s="1022"/>
      <c r="G68" s="1022"/>
      <c r="H68" s="1022"/>
      <c r="I68" s="1022"/>
      <c r="J68" s="1022"/>
      <c r="K68" s="1022"/>
      <c r="L68" s="1022"/>
    </row>
    <row r="69" spans="1:12" ht="23.25" customHeight="1"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19:E19"/>
    <mergeCell ref="G46:L46"/>
    <mergeCell ref="A47:A51"/>
    <mergeCell ref="B47:F47"/>
    <mergeCell ref="G47:L47"/>
    <mergeCell ref="B48:F48"/>
    <mergeCell ref="G48:L48"/>
    <mergeCell ref="B49:F49"/>
    <mergeCell ref="G49:L49"/>
    <mergeCell ref="B50:F50"/>
    <mergeCell ref="G50:L50"/>
    <mergeCell ref="B51:F51"/>
    <mergeCell ref="G51:L51"/>
    <mergeCell ref="H35:I35"/>
    <mergeCell ref="B36:D36"/>
    <mergeCell ref="B42:D42"/>
    <mergeCell ref="B44:D44"/>
    <mergeCell ref="B37:D37"/>
    <mergeCell ref="B38:D38"/>
    <mergeCell ref="B39:D39"/>
    <mergeCell ref="B31:D31"/>
    <mergeCell ref="B32:D32"/>
    <mergeCell ref="G32:I32"/>
    <mergeCell ref="B29:E29"/>
    <mergeCell ref="Z5:AB5"/>
    <mergeCell ref="Z6:AA6"/>
    <mergeCell ref="Z8:AA8"/>
    <mergeCell ref="Z9:AA9"/>
    <mergeCell ref="Z10:AA10"/>
    <mergeCell ref="G7:H7"/>
    <mergeCell ref="B15:E15"/>
    <mergeCell ref="B16:E16"/>
    <mergeCell ref="B17:E17"/>
    <mergeCell ref="Z16:AA16"/>
    <mergeCell ref="Z11:AA11"/>
    <mergeCell ref="Z12:AA12"/>
    <mergeCell ref="Z13:AA13"/>
    <mergeCell ref="Z14:AA14"/>
    <mergeCell ref="Z15:AA15"/>
    <mergeCell ref="B13:E13"/>
    <mergeCell ref="B14:E14"/>
    <mergeCell ref="B12:E12"/>
    <mergeCell ref="B11:E11"/>
    <mergeCell ref="G8:G10"/>
    <mergeCell ref="B20:E20"/>
    <mergeCell ref="B28:E28"/>
    <mergeCell ref="B27:E27"/>
    <mergeCell ref="B21:E21"/>
    <mergeCell ref="B22:E22"/>
    <mergeCell ref="B23:E23"/>
    <mergeCell ref="B24:E24"/>
    <mergeCell ref="B25:E25"/>
    <mergeCell ref="B26:E26"/>
    <mergeCell ref="B18:E18"/>
    <mergeCell ref="B40:D40"/>
    <mergeCell ref="B41:D41"/>
    <mergeCell ref="A1:E1"/>
    <mergeCell ref="B2:E2"/>
    <mergeCell ref="G2:H2"/>
    <mergeCell ref="B3:E3"/>
    <mergeCell ref="G3:H3"/>
    <mergeCell ref="B4:E4"/>
    <mergeCell ref="B5:E5"/>
    <mergeCell ref="B6:E6"/>
    <mergeCell ref="B7:E7"/>
    <mergeCell ref="G6:H6"/>
    <mergeCell ref="G4:H4"/>
    <mergeCell ref="G5:H5"/>
    <mergeCell ref="B33:D33"/>
    <mergeCell ref="H33:I33"/>
    <mergeCell ref="G40:I40"/>
    <mergeCell ref="B34:D34"/>
    <mergeCell ref="H34:I34"/>
    <mergeCell ref="B35:D35"/>
    <mergeCell ref="B8:E8"/>
    <mergeCell ref="B9:E9"/>
    <mergeCell ref="B10:E10"/>
  </mergeCells>
  <conditionalFormatting sqref="B5">
    <cfRule type="containsText" dxfId="332" priority="1" operator="containsText" text="Terminé">
      <formula>NOT(ISERROR(SEARCH("Terminé",B5)))</formula>
    </cfRule>
    <cfRule type="containsText" dxfId="331" priority="2" operator="containsText" text="En cours">
      <formula>NOT(ISERROR(SEARCH("En cours",B5)))</formula>
    </cfRule>
    <cfRule type="containsText" dxfId="33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0" zoomScale="115" zoomScaleNormal="115" workbookViewId="0">
      <selection sqref="A1:E1"/>
    </sheetView>
  </sheetViews>
  <sheetFormatPr baseColWidth="10" defaultColWidth="11.42578125" defaultRowHeight="15"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3.25" customHeight="1" x14ac:dyDescent="0.4">
      <c r="A1" s="1001" t="s">
        <v>937</v>
      </c>
      <c r="B1" s="1001"/>
      <c r="C1" s="1001"/>
      <c r="D1" s="1001"/>
      <c r="E1" s="1001"/>
      <c r="F1" s="276"/>
      <c r="G1" s="7"/>
      <c r="H1" s="7"/>
    </row>
    <row r="2" spans="1:28" ht="19.5" customHeight="1" x14ac:dyDescent="0.25">
      <c r="A2" s="412" t="s">
        <v>750</v>
      </c>
      <c r="B2" s="1002" t="s">
        <v>774</v>
      </c>
      <c r="C2" s="1002"/>
      <c r="D2" s="1002"/>
      <c r="E2" s="1002"/>
      <c r="F2" s="7"/>
      <c r="G2" s="986" t="s">
        <v>751</v>
      </c>
      <c r="H2" s="986"/>
    </row>
    <row r="3" spans="1:28" ht="19.5" customHeight="1" x14ac:dyDescent="0.25">
      <c r="A3" s="409" t="s">
        <v>743</v>
      </c>
      <c r="B3" s="987" t="s">
        <v>434</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425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174" t="s">
        <v>1</v>
      </c>
      <c r="B8" s="967" t="s">
        <v>862</v>
      </c>
      <c r="C8" s="967"/>
      <c r="D8" s="967"/>
      <c r="E8" s="967"/>
      <c r="G8" s="997" t="s">
        <v>936</v>
      </c>
      <c r="H8" s="6"/>
      <c r="I8" s="6"/>
      <c r="J8" s="6"/>
      <c r="K8" s="6"/>
      <c r="L8" s="6"/>
      <c r="M8" s="6"/>
      <c r="N8" s="6"/>
      <c r="O8" s="6"/>
      <c r="Z8" s="1028" t="s">
        <v>611</v>
      </c>
      <c r="AA8" s="1029"/>
      <c r="AB8" s="357">
        <v>0.26819999999999999</v>
      </c>
    </row>
    <row r="9" spans="1:28" ht="24" customHeight="1" x14ac:dyDescent="0.25">
      <c r="A9" s="174" t="s">
        <v>0</v>
      </c>
      <c r="B9" s="967" t="s">
        <v>976</v>
      </c>
      <c r="C9" s="967"/>
      <c r="D9" s="967"/>
      <c r="E9" s="967"/>
      <c r="G9" s="997"/>
      <c r="H9" s="6"/>
      <c r="I9" s="6"/>
      <c r="J9" s="6"/>
      <c r="K9" s="6"/>
      <c r="L9" s="6"/>
      <c r="M9" s="6"/>
      <c r="N9" s="6"/>
      <c r="O9" s="6"/>
      <c r="Z9" s="1028" t="s">
        <v>612</v>
      </c>
      <c r="AA9" s="1029"/>
      <c r="AB9" s="357">
        <v>3.1300000000000001E-2</v>
      </c>
    </row>
    <row r="10" spans="1:28" ht="92.25" customHeight="1" x14ac:dyDescent="0.25">
      <c r="A10" s="102" t="s">
        <v>2</v>
      </c>
      <c r="B10" s="998" t="s">
        <v>861</v>
      </c>
      <c r="C10" s="998"/>
      <c r="D10" s="998"/>
      <c r="E10" s="998"/>
      <c r="G10" s="997"/>
      <c r="H10" s="7"/>
      <c r="I10" s="6"/>
      <c r="J10" s="6"/>
      <c r="K10" s="6"/>
      <c r="L10" s="6"/>
      <c r="M10" s="6"/>
      <c r="N10" s="6"/>
      <c r="O10" s="6"/>
      <c r="Z10" s="1028"/>
      <c r="AA10" s="1029"/>
      <c r="AB10" s="357"/>
    </row>
    <row r="11" spans="1:28" ht="54" customHeight="1" x14ac:dyDescent="0.25">
      <c r="A11" s="102" t="s">
        <v>29</v>
      </c>
      <c r="B11" s="998"/>
      <c r="C11" s="998"/>
      <c r="D11" s="998"/>
      <c r="E11" s="998"/>
      <c r="G11" s="254">
        <v>5000</v>
      </c>
      <c r="H11" s="225" t="s">
        <v>25</v>
      </c>
      <c r="I11" s="6"/>
      <c r="J11" s="6"/>
      <c r="K11" s="6"/>
      <c r="L11" s="6"/>
      <c r="M11" s="6"/>
      <c r="N11" s="6"/>
      <c r="O11" s="6"/>
      <c r="Z11" s="1028" t="s">
        <v>613</v>
      </c>
      <c r="AA11" s="1029"/>
      <c r="AB11" s="357">
        <v>0.26819999999999999</v>
      </c>
    </row>
    <row r="12" spans="1:28" ht="30" customHeight="1" x14ac:dyDescent="0.25">
      <c r="A12" s="102" t="s">
        <v>14</v>
      </c>
      <c r="B12" s="1010" t="s">
        <v>939</v>
      </c>
      <c r="C12" s="1010"/>
      <c r="D12" s="1010"/>
      <c r="E12" s="1010"/>
      <c r="G12" s="225"/>
      <c r="H12" s="225" t="s">
        <v>7</v>
      </c>
      <c r="I12" s="6"/>
      <c r="J12" s="6"/>
      <c r="K12" s="6"/>
      <c r="L12" s="6"/>
      <c r="M12" s="6"/>
      <c r="N12" s="6"/>
      <c r="O12" s="6"/>
      <c r="Z12" s="1028" t="s">
        <v>614</v>
      </c>
      <c r="AA12" s="1029"/>
      <c r="AB12" s="357">
        <v>1.18E-2</v>
      </c>
    </row>
    <row r="13" spans="1:28" ht="30" customHeight="1" x14ac:dyDescent="0.2">
      <c r="A13" s="102" t="s">
        <v>3</v>
      </c>
      <c r="B13" s="1011" t="s">
        <v>943</v>
      </c>
      <c r="C13" s="1011"/>
      <c r="D13" s="1011"/>
      <c r="E13" s="1011"/>
      <c r="Z13" s="1028" t="s">
        <v>615</v>
      </c>
      <c r="AA13" s="1029"/>
      <c r="AB13" s="358">
        <v>0.36854545454545451</v>
      </c>
    </row>
    <row r="14" spans="1:28" ht="30" customHeight="1" x14ac:dyDescent="0.2">
      <c r="A14" s="102" t="s">
        <v>15</v>
      </c>
      <c r="B14" s="1010"/>
      <c r="C14" s="1010"/>
      <c r="D14" s="1010"/>
      <c r="E14" s="1010"/>
      <c r="Z14" s="1028" t="s">
        <v>616</v>
      </c>
      <c r="AA14" s="1029"/>
      <c r="AB14" s="357">
        <v>0.26819999999999999</v>
      </c>
    </row>
    <row r="15" spans="1:28" ht="30" customHeight="1" x14ac:dyDescent="0.2">
      <c r="A15" s="102" t="s">
        <v>4</v>
      </c>
      <c r="B15" s="1010">
        <v>2022</v>
      </c>
      <c r="C15" s="1010"/>
      <c r="D15" s="1010"/>
      <c r="E15" s="1010"/>
      <c r="F15" s="42"/>
      <c r="Z15" s="1028" t="s">
        <v>578</v>
      </c>
      <c r="AA15" s="1029"/>
      <c r="AB15" s="357">
        <v>0.27700000000000002</v>
      </c>
    </row>
    <row r="16" spans="1:28" ht="30" customHeight="1" x14ac:dyDescent="0.2">
      <c r="A16" s="102" t="s">
        <v>5</v>
      </c>
      <c r="B16" s="1010">
        <v>2022</v>
      </c>
      <c r="C16" s="1010"/>
      <c r="D16" s="1010"/>
      <c r="E16" s="1010"/>
      <c r="F16" s="42"/>
      <c r="Z16" s="1028" t="s">
        <v>579</v>
      </c>
      <c r="AA16" s="1029"/>
      <c r="AB16" s="357">
        <v>0.20269999999999999</v>
      </c>
    </row>
    <row r="17" spans="1:9" ht="30" customHeight="1" x14ac:dyDescent="0.25">
      <c r="A17" s="102" t="s">
        <v>6</v>
      </c>
      <c r="B17" s="1000">
        <f>SUM(G11:L11)</f>
        <v>5000</v>
      </c>
      <c r="C17" s="1000"/>
      <c r="D17" s="1000"/>
      <c r="E17" s="1000"/>
      <c r="F17" s="43"/>
    </row>
    <row r="18" spans="1:9" ht="30" customHeight="1" x14ac:dyDescent="0.25">
      <c r="A18" s="102" t="s">
        <v>7</v>
      </c>
      <c r="B18" s="1000">
        <f>SUM(G12:L12)</f>
        <v>0</v>
      </c>
      <c r="C18" s="1000"/>
      <c r="D18" s="1000"/>
      <c r="E18" s="1000"/>
      <c r="F18" s="44"/>
    </row>
    <row r="19" spans="1:9" ht="30" customHeight="1" x14ac:dyDescent="0.25">
      <c r="A19" s="99" t="s">
        <v>307</v>
      </c>
      <c r="B19" s="1039"/>
      <c r="C19" s="1040"/>
      <c r="D19" s="1040"/>
      <c r="E19" s="1040"/>
      <c r="F19" s="42"/>
      <c r="H19" s="10"/>
    </row>
    <row r="20" spans="1:9" ht="30" customHeight="1" x14ac:dyDescent="0.25">
      <c r="A20" s="96" t="s">
        <v>306</v>
      </c>
      <c r="B20" s="1041"/>
      <c r="C20" s="1042"/>
      <c r="D20" s="1042"/>
      <c r="E20" s="1042"/>
      <c r="H20" s="10"/>
    </row>
    <row r="21" spans="1:9" ht="30" customHeight="1" x14ac:dyDescent="0.25">
      <c r="A21" s="102" t="s">
        <v>8</v>
      </c>
      <c r="B21" s="1000">
        <v>1</v>
      </c>
      <c r="C21" s="1000"/>
      <c r="D21" s="1000"/>
      <c r="E21" s="1000"/>
      <c r="F21" s="45"/>
    </row>
    <row r="22" spans="1:9" ht="30" customHeight="1" x14ac:dyDescent="0.25">
      <c r="A22" s="102" t="s">
        <v>9</v>
      </c>
      <c r="B22" s="1000"/>
      <c r="C22" s="1000"/>
      <c r="D22" s="1000"/>
      <c r="E22" s="1000"/>
      <c r="F22" s="46"/>
    </row>
    <row r="23" spans="1:9" ht="30" customHeight="1" x14ac:dyDescent="0.25">
      <c r="A23" s="102" t="s">
        <v>301</v>
      </c>
      <c r="B23" s="1016">
        <f>B17/(B21+B22)</f>
        <v>5000</v>
      </c>
      <c r="C23" s="1016"/>
      <c r="D23" s="1016"/>
      <c r="E23" s="1016"/>
      <c r="F23" s="46"/>
    </row>
    <row r="24" spans="1:9" ht="30" customHeight="1" x14ac:dyDescent="0.25">
      <c r="A24" s="102" t="s">
        <v>302</v>
      </c>
      <c r="B24" s="1017">
        <f>(B17-B18)/(B21+B22)</f>
        <v>5000</v>
      </c>
      <c r="C24" s="1017"/>
      <c r="D24" s="1017"/>
      <c r="E24" s="1017"/>
      <c r="F24" s="47"/>
    </row>
    <row r="25" spans="1:9" ht="30" customHeight="1" x14ac:dyDescent="0.25">
      <c r="A25" s="103" t="s">
        <v>305</v>
      </c>
      <c r="B25" s="1018">
        <f>B19*G25/1000</f>
        <v>0</v>
      </c>
      <c r="C25" s="1018"/>
      <c r="D25" s="1018"/>
      <c r="E25" s="1018"/>
      <c r="F25" s="48"/>
    </row>
    <row r="26" spans="1:9" ht="30" customHeight="1" x14ac:dyDescent="0.25">
      <c r="A26" s="104" t="s">
        <v>303</v>
      </c>
      <c r="B26" s="1019">
        <f>B25/'Objectifs CO2'!C11</f>
        <v>0</v>
      </c>
      <c r="C26" s="1019"/>
      <c r="D26" s="1019"/>
      <c r="E26" s="1019"/>
      <c r="F26" s="49"/>
    </row>
    <row r="27" spans="1:9" ht="30" customHeight="1" x14ac:dyDescent="0.25">
      <c r="A27" s="104" t="s">
        <v>304</v>
      </c>
      <c r="B27" s="1020">
        <f>B25/'Objectifs CO2'!C4</f>
        <v>0</v>
      </c>
      <c r="C27" s="1021"/>
      <c r="D27" s="1021"/>
      <c r="E27" s="1021"/>
      <c r="F27" s="50"/>
    </row>
    <row r="28" spans="1:9" ht="30" customHeight="1" x14ac:dyDescent="0.25">
      <c r="A28" s="104" t="s">
        <v>22</v>
      </c>
      <c r="B28" s="999"/>
      <c r="C28" s="999"/>
      <c r="D28" s="999"/>
      <c r="E28" s="999"/>
    </row>
    <row r="29" spans="1:9" ht="30" customHeight="1" x14ac:dyDescent="0.25">
      <c r="A29" s="101" t="s">
        <v>257</v>
      </c>
      <c r="B29" s="999" t="s">
        <v>263</v>
      </c>
      <c r="C29" s="999"/>
      <c r="D29" s="999"/>
      <c r="E29" s="999"/>
    </row>
    <row r="31" spans="1:9" x14ac:dyDescent="0.25">
      <c r="A31" s="603" t="s">
        <v>1065</v>
      </c>
      <c r="B31" s="1003" t="s">
        <v>675</v>
      </c>
      <c r="C31" s="1003"/>
      <c r="D31" s="1003"/>
      <c r="E31" s="56" t="s">
        <v>676</v>
      </c>
      <c r="F31" s="6"/>
      <c r="G31" s="6"/>
      <c r="H31" s="6"/>
      <c r="I31" s="6"/>
    </row>
    <row r="32" spans="1:9"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B43" s="6"/>
      <c r="C43" s="6"/>
      <c r="D43" s="6"/>
      <c r="E43" s="94" t="s">
        <v>730</v>
      </c>
      <c r="F43" s="6"/>
      <c r="G43" s="6"/>
      <c r="H43" s="6"/>
      <c r="I43" s="6"/>
    </row>
    <row r="44" spans="1:12" x14ac:dyDescent="0.25">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0:E20"/>
    <mergeCell ref="B9:E9"/>
    <mergeCell ref="B10:E10"/>
    <mergeCell ref="B11:E11"/>
    <mergeCell ref="B12:E12"/>
    <mergeCell ref="B13:E13"/>
    <mergeCell ref="B19:E19"/>
    <mergeCell ref="B17:E17"/>
    <mergeCell ref="B18:E18"/>
    <mergeCell ref="B16:E16"/>
    <mergeCell ref="B27:E27"/>
    <mergeCell ref="B28:E28"/>
    <mergeCell ref="B29:E29"/>
    <mergeCell ref="B21:E21"/>
    <mergeCell ref="B22:E22"/>
    <mergeCell ref="B23:E23"/>
    <mergeCell ref="B24:E24"/>
    <mergeCell ref="B25:E25"/>
    <mergeCell ref="B26:E26"/>
    <mergeCell ref="Z5:AB5"/>
    <mergeCell ref="Z6:AA6"/>
    <mergeCell ref="Z8:AA8"/>
    <mergeCell ref="Z9:AA9"/>
    <mergeCell ref="Z10:AA10"/>
    <mergeCell ref="Z16:AA16"/>
    <mergeCell ref="Z11:AA11"/>
    <mergeCell ref="Z12:AA12"/>
    <mergeCell ref="Z13:AA13"/>
    <mergeCell ref="Z14:AA14"/>
    <mergeCell ref="Z15:AA15"/>
    <mergeCell ref="B42:D42"/>
    <mergeCell ref="B44:D44"/>
    <mergeCell ref="B37:D37"/>
    <mergeCell ref="B38:D38"/>
    <mergeCell ref="B39:D39"/>
    <mergeCell ref="B40:D40"/>
    <mergeCell ref="B41:D41"/>
    <mergeCell ref="B7:E7"/>
    <mergeCell ref="G7:H7"/>
    <mergeCell ref="B31:D31"/>
    <mergeCell ref="B32:D32"/>
    <mergeCell ref="G32:I32"/>
    <mergeCell ref="B33:D33"/>
    <mergeCell ref="H33:I33"/>
    <mergeCell ref="G40:I40"/>
    <mergeCell ref="B34:D34"/>
    <mergeCell ref="H34:I34"/>
    <mergeCell ref="B35:D35"/>
    <mergeCell ref="H35:I35"/>
    <mergeCell ref="B36:D36"/>
    <mergeCell ref="B8:E8"/>
    <mergeCell ref="G8:G10"/>
    <mergeCell ref="B14:E14"/>
    <mergeCell ref="B15:E15"/>
    <mergeCell ref="A1:E1"/>
    <mergeCell ref="B2:E2"/>
    <mergeCell ref="G2:H2"/>
    <mergeCell ref="B3:E3"/>
    <mergeCell ref="G3:H3"/>
    <mergeCell ref="G4:H4"/>
    <mergeCell ref="G5:H5"/>
    <mergeCell ref="G6:H6"/>
    <mergeCell ref="B4:E4"/>
    <mergeCell ref="B5:E5"/>
    <mergeCell ref="B6:E6"/>
  </mergeCells>
  <conditionalFormatting sqref="B5">
    <cfRule type="containsText" dxfId="329" priority="1" operator="containsText" text="Terminé">
      <formula>NOT(ISERROR(SEARCH("Terminé",B5)))</formula>
    </cfRule>
    <cfRule type="containsText" dxfId="328" priority="2" operator="containsText" text="En cours">
      <formula>NOT(ISERROR(SEARCH("En cours",B5)))</formula>
    </cfRule>
    <cfRule type="containsText" dxfId="32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A10" zoomScaleNormal="100" workbookViewId="0">
      <selection sqref="A1:E1"/>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1001" t="s">
        <v>937</v>
      </c>
      <c r="B1" s="1001"/>
      <c r="C1" s="1001"/>
      <c r="D1" s="1001"/>
      <c r="E1" s="1001"/>
      <c r="F1" s="276"/>
      <c r="G1" s="7"/>
      <c r="H1" s="7"/>
    </row>
    <row r="2" spans="1:28" ht="19.5" customHeight="1" x14ac:dyDescent="0.25">
      <c r="A2" s="412" t="s">
        <v>750</v>
      </c>
      <c r="B2" s="1002" t="s">
        <v>775</v>
      </c>
      <c r="C2" s="1002"/>
      <c r="D2" s="1002"/>
      <c r="E2" s="1002"/>
      <c r="F2" s="7"/>
      <c r="G2" s="986" t="s">
        <v>751</v>
      </c>
      <c r="H2" s="986"/>
    </row>
    <row r="3" spans="1:28" ht="19.5" customHeight="1" x14ac:dyDescent="0.25">
      <c r="A3" s="409" t="s">
        <v>743</v>
      </c>
      <c r="B3" s="987" t="s">
        <v>434</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425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862</v>
      </c>
      <c r="C8" s="967"/>
      <c r="D8" s="967"/>
      <c r="E8" s="967"/>
      <c r="G8" s="997" t="s">
        <v>936</v>
      </c>
      <c r="Z8" s="1028" t="s">
        <v>611</v>
      </c>
      <c r="AA8" s="1029"/>
      <c r="AB8" s="357">
        <v>0.26819999999999999</v>
      </c>
    </row>
    <row r="9" spans="1:28" ht="24" customHeight="1" x14ac:dyDescent="0.25">
      <c r="A9" s="98" t="s">
        <v>0</v>
      </c>
      <c r="B9" s="967" t="s">
        <v>435</v>
      </c>
      <c r="C9" s="967"/>
      <c r="D9" s="967"/>
      <c r="E9" s="967"/>
      <c r="G9" s="997"/>
      <c r="Z9" s="1028" t="s">
        <v>612</v>
      </c>
      <c r="AA9" s="1029"/>
      <c r="AB9" s="357">
        <v>3.1300000000000001E-2</v>
      </c>
    </row>
    <row r="10" spans="1:28" ht="84.75" customHeight="1" x14ac:dyDescent="0.25">
      <c r="A10" s="98" t="s">
        <v>2</v>
      </c>
      <c r="B10" s="998" t="s">
        <v>436</v>
      </c>
      <c r="C10" s="998"/>
      <c r="D10" s="998"/>
      <c r="E10" s="998"/>
      <c r="G10" s="997"/>
      <c r="H10" s="7"/>
      <c r="Z10" s="1028"/>
      <c r="AA10" s="1029"/>
      <c r="AB10" s="357"/>
    </row>
    <row r="11" spans="1:28" ht="54" customHeight="1" x14ac:dyDescent="0.25">
      <c r="A11" s="98" t="s">
        <v>29</v>
      </c>
      <c r="B11" s="1035"/>
      <c r="C11" s="1035"/>
      <c r="D11" s="1035"/>
      <c r="E11" s="1035"/>
      <c r="G11" s="254">
        <v>5000</v>
      </c>
      <c r="H11" s="225" t="s">
        <v>25</v>
      </c>
      <c r="Z11" s="1028" t="s">
        <v>613</v>
      </c>
      <c r="AA11" s="1029"/>
      <c r="AB11" s="357">
        <v>0.26819999999999999</v>
      </c>
    </row>
    <row r="12" spans="1:28" ht="30" customHeight="1" x14ac:dyDescent="0.25">
      <c r="A12" s="98" t="s">
        <v>14</v>
      </c>
      <c r="B12" s="1010" t="s">
        <v>939</v>
      </c>
      <c r="C12" s="1010"/>
      <c r="D12" s="1010"/>
      <c r="E12" s="1010"/>
      <c r="G12" s="225"/>
      <c r="H12" s="225" t="s">
        <v>7</v>
      </c>
      <c r="Z12" s="1028" t="s">
        <v>614</v>
      </c>
      <c r="AA12" s="1029"/>
      <c r="AB12" s="357">
        <v>1.18E-2</v>
      </c>
    </row>
    <row r="13" spans="1:28" ht="30" customHeight="1" x14ac:dyDescent="0.25">
      <c r="A13" s="98" t="s">
        <v>3</v>
      </c>
      <c r="B13" s="1011" t="s">
        <v>943</v>
      </c>
      <c r="C13" s="1011"/>
      <c r="D13" s="1011"/>
      <c r="E13" s="1011"/>
      <c r="Z13" s="1028" t="s">
        <v>615</v>
      </c>
      <c r="AA13" s="1029"/>
      <c r="AB13" s="358">
        <v>0.36854545454545451</v>
      </c>
    </row>
    <row r="14" spans="1:28" ht="30" customHeight="1" x14ac:dyDescent="0.25">
      <c r="A14" s="98" t="s">
        <v>15</v>
      </c>
      <c r="B14" s="1010"/>
      <c r="C14" s="1010"/>
      <c r="D14" s="1010"/>
      <c r="E14" s="1010"/>
      <c r="Z14" s="1028" t="s">
        <v>616</v>
      </c>
      <c r="AA14" s="1029"/>
      <c r="AB14" s="357">
        <v>0.26819999999999999</v>
      </c>
    </row>
    <row r="15" spans="1:28" ht="30" customHeight="1" x14ac:dyDescent="0.25">
      <c r="A15" s="98" t="s">
        <v>4</v>
      </c>
      <c r="B15" s="1010">
        <v>2025</v>
      </c>
      <c r="C15" s="1010"/>
      <c r="D15" s="1010"/>
      <c r="E15" s="1010"/>
      <c r="F15" s="33"/>
      <c r="Z15" s="1028" t="s">
        <v>578</v>
      </c>
      <c r="AA15" s="1029"/>
      <c r="AB15" s="357">
        <v>0.27700000000000002</v>
      </c>
    </row>
    <row r="16" spans="1:28" ht="30" customHeight="1" x14ac:dyDescent="0.25">
      <c r="A16" s="98" t="s">
        <v>5</v>
      </c>
      <c r="B16" s="1010">
        <v>2025</v>
      </c>
      <c r="C16" s="1010"/>
      <c r="D16" s="1010"/>
      <c r="E16" s="1010"/>
      <c r="F16" s="33"/>
      <c r="Z16" s="1028" t="s">
        <v>579</v>
      </c>
      <c r="AA16" s="1029"/>
      <c r="AB16" s="357">
        <v>0.20269999999999999</v>
      </c>
    </row>
    <row r="17" spans="1:9" ht="30" customHeight="1" x14ac:dyDescent="0.25">
      <c r="A17" s="98" t="s">
        <v>6</v>
      </c>
      <c r="B17" s="1000">
        <f>SUM(G11:L11)</f>
        <v>5000</v>
      </c>
      <c r="C17" s="1000"/>
      <c r="D17" s="1000"/>
      <c r="E17" s="1000"/>
      <c r="F17" s="34"/>
    </row>
    <row r="18" spans="1:9" ht="30" customHeight="1" x14ac:dyDescent="0.25">
      <c r="A18" s="98"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98" t="s">
        <v>8</v>
      </c>
      <c r="B21" s="1000">
        <v>1</v>
      </c>
      <c r="C21" s="1000"/>
      <c r="D21" s="1000"/>
      <c r="E21" s="1000"/>
      <c r="F21" s="33"/>
    </row>
    <row r="22" spans="1:9" ht="30" customHeight="1" x14ac:dyDescent="0.25">
      <c r="A22" s="98" t="s">
        <v>9</v>
      </c>
      <c r="B22" s="1000"/>
      <c r="C22" s="1000"/>
      <c r="D22" s="1000"/>
      <c r="E22" s="1000"/>
      <c r="F22" s="37"/>
    </row>
    <row r="23" spans="1:9" ht="30" customHeight="1" x14ac:dyDescent="0.25">
      <c r="A23" s="98" t="s">
        <v>301</v>
      </c>
      <c r="B23" s="1016">
        <f>B17/(B21+B22)</f>
        <v>5000</v>
      </c>
      <c r="C23" s="1016"/>
      <c r="D23" s="1016"/>
      <c r="E23" s="1016"/>
      <c r="F23" s="37"/>
    </row>
    <row r="24" spans="1:9" ht="30" customHeight="1" x14ac:dyDescent="0.25">
      <c r="A24" s="98" t="s">
        <v>302</v>
      </c>
      <c r="B24" s="1017">
        <f>(B17-B18)/(B21+B22)</f>
        <v>5000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6"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ht="23.25" customHeight="1" x14ac:dyDescent="0.25">
      <c r="G46" s="1022" t="s">
        <v>965</v>
      </c>
      <c r="H46" s="1022"/>
      <c r="I46" s="1022"/>
      <c r="J46" s="1022"/>
      <c r="K46" s="1022"/>
      <c r="L46" s="1022"/>
    </row>
    <row r="47" spans="1:12" ht="23.25" customHeight="1" x14ac:dyDescent="0.25">
      <c r="A47" s="959" t="s">
        <v>966</v>
      </c>
      <c r="B47" s="1022"/>
      <c r="C47" s="1022"/>
      <c r="D47" s="1022"/>
      <c r="E47" s="1022"/>
      <c r="F47" s="1022"/>
      <c r="G47" s="1022"/>
      <c r="H47" s="1022"/>
      <c r="I47" s="1022"/>
      <c r="J47" s="1022"/>
      <c r="K47" s="1022"/>
      <c r="L47" s="1022"/>
    </row>
    <row r="48" spans="1:12" ht="23.25" customHeight="1" x14ac:dyDescent="0.25">
      <c r="A48" s="959"/>
      <c r="B48" s="1022"/>
      <c r="C48" s="1022"/>
      <c r="D48" s="1022"/>
      <c r="E48" s="1022"/>
      <c r="F48" s="1022"/>
      <c r="G48" s="1022"/>
      <c r="H48" s="1022"/>
      <c r="I48" s="1022"/>
      <c r="J48" s="1022"/>
      <c r="K48" s="1022"/>
      <c r="L48" s="1022"/>
    </row>
    <row r="49" spans="1:12" ht="23.25" customHeight="1" x14ac:dyDescent="0.25">
      <c r="A49" s="959"/>
      <c r="B49" s="1022"/>
      <c r="C49" s="1022"/>
      <c r="D49" s="1022"/>
      <c r="E49" s="1022"/>
      <c r="F49" s="1022"/>
      <c r="G49" s="1022"/>
      <c r="H49" s="1022"/>
      <c r="I49" s="1022"/>
      <c r="J49" s="1022"/>
      <c r="K49" s="1022"/>
      <c r="L49" s="1022"/>
    </row>
    <row r="50" spans="1:12" ht="23.25" customHeight="1" x14ac:dyDescent="0.25">
      <c r="A50" s="959"/>
      <c r="B50" s="1022"/>
      <c r="C50" s="1022"/>
      <c r="D50" s="1022"/>
      <c r="E50" s="1022"/>
      <c r="F50" s="1022"/>
      <c r="G50" s="1022"/>
      <c r="H50" s="1022"/>
      <c r="I50" s="1022"/>
      <c r="J50" s="1022"/>
      <c r="K50" s="1022"/>
      <c r="L50" s="1022"/>
    </row>
    <row r="51" spans="1:12" ht="23.25" customHeight="1" x14ac:dyDescent="0.25">
      <c r="A51" s="959"/>
      <c r="B51" s="1022"/>
      <c r="C51" s="1022"/>
      <c r="D51" s="1022"/>
      <c r="E51" s="1022"/>
      <c r="F51" s="1022"/>
      <c r="G51" s="1022"/>
      <c r="H51" s="1022"/>
      <c r="I51" s="1022"/>
      <c r="J51" s="1022"/>
      <c r="K51" s="1022"/>
      <c r="L51" s="1022"/>
    </row>
    <row r="52" spans="1:12" ht="23.25" customHeight="1" x14ac:dyDescent="0.25">
      <c r="A52" s="959" t="s">
        <v>967</v>
      </c>
      <c r="B52" s="1022" t="s">
        <v>977</v>
      </c>
      <c r="C52" s="1022"/>
      <c r="D52" s="1022"/>
      <c r="E52" s="1022"/>
      <c r="F52" s="1022"/>
      <c r="G52" s="1022"/>
      <c r="H52" s="1022"/>
      <c r="I52" s="1022"/>
      <c r="J52" s="1022"/>
      <c r="K52" s="1022"/>
      <c r="L52" s="1022"/>
    </row>
    <row r="53" spans="1:12" ht="23.25" customHeight="1" x14ac:dyDescent="0.25">
      <c r="A53" s="959"/>
      <c r="B53" s="1022"/>
      <c r="C53" s="1022"/>
      <c r="D53" s="1022"/>
      <c r="E53" s="1022"/>
      <c r="F53" s="1022"/>
      <c r="G53" s="1022"/>
      <c r="H53" s="1022"/>
      <c r="I53" s="1022"/>
      <c r="J53" s="1022"/>
      <c r="K53" s="1022"/>
      <c r="L53" s="1022"/>
    </row>
    <row r="54" spans="1:12" ht="23.25" customHeight="1" x14ac:dyDescent="0.25">
      <c r="A54" s="959"/>
      <c r="B54" s="1022"/>
      <c r="C54" s="1022"/>
      <c r="D54" s="1022"/>
      <c r="E54" s="1022"/>
      <c r="F54" s="1022"/>
      <c r="G54" s="1022"/>
      <c r="H54" s="1022"/>
      <c r="I54" s="1022"/>
      <c r="J54" s="1022"/>
      <c r="K54" s="1022"/>
      <c r="L54" s="1022"/>
    </row>
    <row r="55" spans="1:12" ht="23.25" customHeight="1" x14ac:dyDescent="0.25">
      <c r="A55" s="959"/>
      <c r="B55" s="1022"/>
      <c r="C55" s="1022"/>
      <c r="D55" s="1022"/>
      <c r="E55" s="1022"/>
      <c r="F55" s="1022"/>
      <c r="G55" s="1022"/>
      <c r="H55" s="1022"/>
      <c r="I55" s="1022"/>
      <c r="J55" s="1022"/>
      <c r="K55" s="1022"/>
      <c r="L55" s="1022"/>
    </row>
    <row r="56" spans="1:12" ht="23.25" customHeight="1" x14ac:dyDescent="0.25">
      <c r="A56" s="959"/>
      <c r="B56" s="1022"/>
      <c r="C56" s="1022"/>
      <c r="D56" s="1022"/>
      <c r="E56" s="1022"/>
      <c r="F56" s="1022"/>
      <c r="G56" s="1022"/>
      <c r="H56" s="1022"/>
      <c r="I56" s="1022"/>
      <c r="J56" s="1022"/>
      <c r="K56" s="1022"/>
      <c r="L56" s="1022"/>
    </row>
    <row r="57" spans="1:12" ht="23.25" customHeight="1" x14ac:dyDescent="0.25">
      <c r="A57" s="959"/>
      <c r="B57" s="1022"/>
      <c r="C57" s="1022"/>
      <c r="D57" s="1022"/>
      <c r="E57" s="1022"/>
      <c r="F57" s="1022"/>
      <c r="G57" s="1022"/>
      <c r="H57" s="1022"/>
      <c r="I57" s="1022"/>
      <c r="J57" s="1022"/>
      <c r="K57" s="1022"/>
      <c r="L57" s="1022"/>
    </row>
    <row r="58" spans="1:12" ht="23.25" customHeight="1" x14ac:dyDescent="0.25">
      <c r="A58" s="959"/>
      <c r="B58" s="1022"/>
      <c r="C58" s="1022"/>
      <c r="D58" s="1022"/>
      <c r="E58" s="1022"/>
      <c r="F58" s="1022"/>
      <c r="G58" s="1022"/>
      <c r="H58" s="1022"/>
      <c r="I58" s="1022"/>
      <c r="J58" s="1022"/>
      <c r="K58" s="1022"/>
      <c r="L58" s="1022"/>
    </row>
    <row r="59" spans="1:12" ht="23.25" customHeight="1" x14ac:dyDescent="0.25">
      <c r="A59" s="959"/>
      <c r="B59" s="1022"/>
      <c r="C59" s="1022"/>
      <c r="D59" s="1022"/>
      <c r="E59" s="1022"/>
      <c r="F59" s="1022"/>
      <c r="G59" s="1022"/>
      <c r="H59" s="1022"/>
      <c r="I59" s="1022"/>
      <c r="J59" s="1022"/>
      <c r="K59" s="1022"/>
      <c r="L59" s="1022"/>
    </row>
    <row r="60" spans="1:12" ht="23.25" customHeight="1" x14ac:dyDescent="0.25">
      <c r="A60" s="959"/>
      <c r="B60" s="1022"/>
      <c r="C60" s="1022"/>
      <c r="D60" s="1022"/>
      <c r="E60" s="1022"/>
      <c r="F60" s="1022"/>
      <c r="G60" s="1022"/>
      <c r="H60" s="1022"/>
      <c r="I60" s="1022"/>
      <c r="J60" s="1022"/>
      <c r="K60" s="1022"/>
      <c r="L60" s="1022"/>
    </row>
    <row r="61" spans="1:12" ht="23.25" customHeight="1" x14ac:dyDescent="0.25">
      <c r="A61" s="959"/>
      <c r="B61" s="1022"/>
      <c r="C61" s="1022"/>
      <c r="D61" s="1022"/>
      <c r="E61" s="1022"/>
      <c r="F61" s="1022"/>
      <c r="G61" s="1022"/>
      <c r="H61" s="1022"/>
      <c r="I61" s="1022"/>
      <c r="J61" s="1022"/>
      <c r="K61" s="1022"/>
      <c r="L61" s="1022"/>
    </row>
    <row r="62" spans="1:12" ht="23.25" customHeight="1" x14ac:dyDescent="0.25">
      <c r="A62" s="959"/>
      <c r="B62" s="1022"/>
      <c r="C62" s="1022"/>
      <c r="D62" s="1022"/>
      <c r="E62" s="1022"/>
      <c r="F62" s="1022"/>
      <c r="G62" s="1022"/>
      <c r="H62" s="1022"/>
      <c r="I62" s="1022"/>
      <c r="J62" s="1022"/>
      <c r="K62" s="1022"/>
      <c r="L62" s="1022"/>
    </row>
    <row r="63" spans="1:12" ht="23.25" customHeight="1" x14ac:dyDescent="0.25">
      <c r="A63" s="959" t="s">
        <v>968</v>
      </c>
      <c r="B63" s="1022"/>
      <c r="C63" s="1022"/>
      <c r="D63" s="1022"/>
      <c r="E63" s="1022"/>
      <c r="F63" s="1022"/>
      <c r="G63" s="1022"/>
      <c r="H63" s="1022"/>
      <c r="I63" s="1022"/>
      <c r="J63" s="1022"/>
      <c r="K63" s="1022"/>
      <c r="L63" s="1022"/>
    </row>
    <row r="64" spans="1:12" ht="23.25" customHeight="1" x14ac:dyDescent="0.25">
      <c r="A64" s="959"/>
      <c r="B64" s="1022"/>
      <c r="C64" s="1022"/>
      <c r="D64" s="1022"/>
      <c r="E64" s="1022"/>
      <c r="F64" s="1022"/>
      <c r="G64" s="1022"/>
      <c r="H64" s="1022"/>
      <c r="I64" s="1022"/>
      <c r="J64" s="1022"/>
      <c r="K64" s="1022"/>
      <c r="L64" s="1022"/>
    </row>
    <row r="65" spans="1:12" ht="23.25" customHeight="1" x14ac:dyDescent="0.25">
      <c r="A65" s="959"/>
      <c r="B65" s="1022"/>
      <c r="C65" s="1022"/>
      <c r="D65" s="1022"/>
      <c r="E65" s="1022"/>
      <c r="F65" s="1022"/>
      <c r="G65" s="1022"/>
      <c r="H65" s="1022"/>
      <c r="I65" s="1022"/>
      <c r="J65" s="1022"/>
      <c r="K65" s="1022"/>
      <c r="L65" s="1022"/>
    </row>
    <row r="66" spans="1:12" ht="23.25" customHeight="1" x14ac:dyDescent="0.25">
      <c r="A66" s="959"/>
      <c r="B66" s="1022"/>
      <c r="C66" s="1022"/>
      <c r="D66" s="1022"/>
      <c r="E66" s="1022"/>
      <c r="F66" s="1022"/>
      <c r="G66" s="1022"/>
      <c r="H66" s="1022"/>
      <c r="I66" s="1022"/>
      <c r="J66" s="1022"/>
      <c r="K66" s="1022"/>
      <c r="L66" s="1022"/>
    </row>
    <row r="67" spans="1:12" ht="23.25" customHeight="1" x14ac:dyDescent="0.25">
      <c r="A67" s="959"/>
      <c r="B67" s="1022"/>
      <c r="C67" s="1022"/>
      <c r="D67" s="1022"/>
      <c r="E67" s="1022"/>
      <c r="F67" s="1022"/>
      <c r="G67" s="1022"/>
      <c r="H67" s="1022"/>
      <c r="I67" s="1022"/>
      <c r="J67" s="1022"/>
      <c r="K67" s="1022"/>
      <c r="L67" s="1022"/>
    </row>
    <row r="68" spans="1:12" ht="23.25" customHeight="1" x14ac:dyDescent="0.25">
      <c r="A68" s="959"/>
      <c r="B68" s="1022"/>
      <c r="C68" s="1022"/>
      <c r="D68" s="1022"/>
      <c r="E68" s="1022"/>
      <c r="F68" s="1022"/>
      <c r="G68" s="1022"/>
      <c r="H68" s="1022"/>
      <c r="I68" s="1022"/>
      <c r="J68" s="1022"/>
      <c r="K68" s="1022"/>
      <c r="L68" s="1022"/>
    </row>
    <row r="69" spans="1:12" ht="23.25" customHeight="1"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B14:E14"/>
    <mergeCell ref="B15:E15"/>
    <mergeCell ref="B16:E16"/>
    <mergeCell ref="B17:E17"/>
    <mergeCell ref="G46:L46"/>
    <mergeCell ref="B35:D35"/>
    <mergeCell ref="H35:I35"/>
    <mergeCell ref="B36:D36"/>
    <mergeCell ref="B42:D42"/>
    <mergeCell ref="B44:D44"/>
    <mergeCell ref="B37:D37"/>
    <mergeCell ref="B38:D38"/>
    <mergeCell ref="B39:D39"/>
    <mergeCell ref="B40:D40"/>
    <mergeCell ref="B41:D41"/>
    <mergeCell ref="B33:D33"/>
    <mergeCell ref="H33:I33"/>
    <mergeCell ref="G40:I40"/>
    <mergeCell ref="B34:D34"/>
    <mergeCell ref="H34:I34"/>
    <mergeCell ref="G8:G10"/>
    <mergeCell ref="B8:E8"/>
    <mergeCell ref="B9:E9"/>
    <mergeCell ref="B10:E10"/>
    <mergeCell ref="Z5:AB5"/>
    <mergeCell ref="Z6:AA6"/>
    <mergeCell ref="Z8:AA8"/>
    <mergeCell ref="Z9:AA9"/>
    <mergeCell ref="Z10:AA10"/>
    <mergeCell ref="G7:H7"/>
    <mergeCell ref="B7:E7"/>
    <mergeCell ref="Z16:AA16"/>
    <mergeCell ref="Z11:AA11"/>
    <mergeCell ref="Z12:AA12"/>
    <mergeCell ref="Z13:AA13"/>
    <mergeCell ref="Z14:AA14"/>
    <mergeCell ref="Z15:AA15"/>
    <mergeCell ref="B31:D31"/>
    <mergeCell ref="B32:D32"/>
    <mergeCell ref="G32:I32"/>
    <mergeCell ref="B29:E29"/>
    <mergeCell ref="B22:E22"/>
    <mergeCell ref="B20:E20"/>
    <mergeCell ref="B28:E28"/>
    <mergeCell ref="B11:E11"/>
    <mergeCell ref="B25:E25"/>
    <mergeCell ref="B26:E26"/>
    <mergeCell ref="B27:E27"/>
    <mergeCell ref="B23:E23"/>
    <mergeCell ref="B24:E24"/>
    <mergeCell ref="B12:E12"/>
    <mergeCell ref="B18:E18"/>
    <mergeCell ref="B19:E19"/>
    <mergeCell ref="B21:E21"/>
    <mergeCell ref="B13:E13"/>
    <mergeCell ref="A1:E1"/>
    <mergeCell ref="B2:E2"/>
    <mergeCell ref="G2:H2"/>
    <mergeCell ref="B3:E3"/>
    <mergeCell ref="G3:H3"/>
    <mergeCell ref="G6:H6"/>
    <mergeCell ref="G4:H4"/>
    <mergeCell ref="G5:H5"/>
    <mergeCell ref="B4:E4"/>
    <mergeCell ref="B5:E5"/>
    <mergeCell ref="B6:E6"/>
  </mergeCells>
  <conditionalFormatting sqref="B5">
    <cfRule type="containsText" dxfId="326" priority="1" operator="containsText" text="Terminé">
      <formula>NOT(ISERROR(SEARCH("Terminé",B5)))</formula>
    </cfRule>
    <cfRule type="containsText" dxfId="325" priority="2" operator="containsText" text="En cours">
      <formula>NOT(ISERROR(SEARCH("En cours",B5)))</formula>
    </cfRule>
    <cfRule type="containsText" dxfId="32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zoomScale="85" zoomScaleNormal="85" workbookViewId="0">
      <selection sqref="A1:E1"/>
    </sheetView>
  </sheetViews>
  <sheetFormatPr baseColWidth="10" defaultColWidth="11.42578125" defaultRowHeight="15"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8" width="11.42578125" style="9"/>
    <col min="9" max="9" width="11.42578125" style="9" customWidth="1"/>
    <col min="10" max="16384" width="11.42578125" style="9"/>
  </cols>
  <sheetData>
    <row r="1" spans="1:28" ht="23.25" customHeight="1" x14ac:dyDescent="0.4">
      <c r="A1" s="1001" t="s">
        <v>937</v>
      </c>
      <c r="B1" s="1001"/>
      <c r="C1" s="1001"/>
      <c r="D1" s="1001"/>
      <c r="E1" s="1001"/>
      <c r="F1" s="276"/>
      <c r="G1" s="7"/>
      <c r="H1" s="7"/>
    </row>
    <row r="2" spans="1:28" ht="19.5" customHeight="1" x14ac:dyDescent="0.25">
      <c r="A2" s="412" t="s">
        <v>750</v>
      </c>
      <c r="B2" s="1002" t="s">
        <v>776</v>
      </c>
      <c r="C2" s="1002"/>
      <c r="D2" s="1002"/>
      <c r="E2" s="1002"/>
      <c r="F2" s="7"/>
      <c r="G2" s="986" t="s">
        <v>751</v>
      </c>
      <c r="H2" s="986"/>
    </row>
    <row r="3" spans="1:28" ht="19.5" customHeight="1" x14ac:dyDescent="0.25">
      <c r="A3" s="409" t="s">
        <v>743</v>
      </c>
      <c r="B3" s="987" t="s">
        <v>434</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174" t="s">
        <v>1</v>
      </c>
      <c r="B8" s="996" t="s">
        <v>432</v>
      </c>
      <c r="C8" s="996"/>
      <c r="D8" s="996"/>
      <c r="E8" s="996"/>
      <c r="G8" s="997" t="s">
        <v>936</v>
      </c>
      <c r="H8" s="6"/>
      <c r="I8" s="6"/>
      <c r="J8" s="6"/>
      <c r="K8" s="6"/>
      <c r="L8" s="6"/>
      <c r="M8" s="6"/>
      <c r="N8" s="6"/>
      <c r="O8" s="6"/>
      <c r="Z8" s="1028" t="s">
        <v>611</v>
      </c>
      <c r="AA8" s="1029"/>
      <c r="AB8" s="357">
        <v>0.26819999999999999</v>
      </c>
    </row>
    <row r="9" spans="1:28" ht="24" customHeight="1" x14ac:dyDescent="0.25">
      <c r="A9" s="174" t="s">
        <v>0</v>
      </c>
      <c r="B9" s="1015" t="s">
        <v>432</v>
      </c>
      <c r="C9" s="1015"/>
      <c r="D9" s="1015"/>
      <c r="E9" s="1015"/>
      <c r="G9" s="997"/>
      <c r="H9" s="6"/>
      <c r="I9" s="6"/>
      <c r="J9" s="6"/>
      <c r="K9" s="6"/>
      <c r="L9" s="6"/>
      <c r="M9" s="6"/>
      <c r="N9" s="6"/>
      <c r="O9" s="6"/>
      <c r="Z9" s="1028" t="s">
        <v>612</v>
      </c>
      <c r="AA9" s="1029"/>
      <c r="AB9" s="357">
        <v>3.1300000000000001E-2</v>
      </c>
    </row>
    <row r="10" spans="1:28" ht="63" customHeight="1" x14ac:dyDescent="0.25">
      <c r="A10" s="102" t="s">
        <v>2</v>
      </c>
      <c r="B10" s="1063" t="s">
        <v>433</v>
      </c>
      <c r="C10" s="1063"/>
      <c r="D10" s="1063"/>
      <c r="E10" s="1063"/>
      <c r="G10" s="997"/>
      <c r="H10" s="7"/>
      <c r="I10" s="6"/>
      <c r="J10" s="6"/>
      <c r="K10" s="6"/>
      <c r="L10" s="6"/>
      <c r="M10" s="6"/>
      <c r="N10" s="6"/>
      <c r="O10" s="6"/>
      <c r="Z10" s="1028"/>
      <c r="AA10" s="1029"/>
      <c r="AB10" s="357"/>
    </row>
    <row r="11" spans="1:28" ht="54" customHeight="1" x14ac:dyDescent="0.25">
      <c r="A11" s="102" t="s">
        <v>29</v>
      </c>
      <c r="B11" s="1009" t="s">
        <v>863</v>
      </c>
      <c r="C11" s="1009"/>
      <c r="D11" s="1009"/>
      <c r="E11" s="1009"/>
      <c r="G11" s="254">
        <v>2000</v>
      </c>
      <c r="H11" s="225" t="s">
        <v>25</v>
      </c>
      <c r="I11" s="6"/>
      <c r="J11" s="6"/>
      <c r="K11" s="6"/>
      <c r="L11" s="6"/>
      <c r="M11" s="6"/>
      <c r="N11" s="6"/>
      <c r="O11" s="6"/>
      <c r="Z11" s="1028" t="s">
        <v>613</v>
      </c>
      <c r="AA11" s="1029"/>
      <c r="AB11" s="357">
        <v>0.26819999999999999</v>
      </c>
    </row>
    <row r="12" spans="1:28" ht="30" customHeight="1" x14ac:dyDescent="0.25">
      <c r="A12" s="102" t="s">
        <v>14</v>
      </c>
      <c r="B12" s="1010" t="s">
        <v>939</v>
      </c>
      <c r="C12" s="1010"/>
      <c r="D12" s="1010"/>
      <c r="E12" s="1010"/>
      <c r="G12" s="225"/>
      <c r="H12" s="225" t="s">
        <v>7</v>
      </c>
      <c r="I12" s="6"/>
      <c r="J12" s="6"/>
      <c r="K12" s="6"/>
      <c r="L12" s="6"/>
      <c r="M12" s="6"/>
      <c r="N12" s="6"/>
      <c r="O12" s="6"/>
      <c r="Z12" s="1028" t="s">
        <v>614</v>
      </c>
      <c r="AA12" s="1029"/>
      <c r="AB12" s="357">
        <v>1.18E-2</v>
      </c>
    </row>
    <row r="13" spans="1:28" ht="30" customHeight="1" x14ac:dyDescent="0.2">
      <c r="A13" s="102" t="s">
        <v>3</v>
      </c>
      <c r="B13" s="1011" t="s">
        <v>943</v>
      </c>
      <c r="C13" s="1011"/>
      <c r="D13" s="1011"/>
      <c r="E13" s="1011"/>
      <c r="Z13" s="1028" t="s">
        <v>615</v>
      </c>
      <c r="AA13" s="1029"/>
      <c r="AB13" s="358">
        <v>0.36854545454545451</v>
      </c>
    </row>
    <row r="14" spans="1:28" ht="30" customHeight="1" x14ac:dyDescent="0.2">
      <c r="A14" s="102" t="s">
        <v>15</v>
      </c>
      <c r="B14" s="1010" t="s">
        <v>982</v>
      </c>
      <c r="C14" s="1010"/>
      <c r="D14" s="1010"/>
      <c r="E14" s="1010"/>
      <c r="Z14" s="1028" t="s">
        <v>616</v>
      </c>
      <c r="AA14" s="1029"/>
      <c r="AB14" s="357">
        <v>0.26819999999999999</v>
      </c>
    </row>
    <row r="15" spans="1:28" ht="30" customHeight="1" x14ac:dyDescent="0.2">
      <c r="A15" s="102" t="s">
        <v>4</v>
      </c>
      <c r="B15" s="1010">
        <v>2020</v>
      </c>
      <c r="C15" s="1010"/>
      <c r="D15" s="1010"/>
      <c r="E15" s="1010"/>
      <c r="Z15" s="1028" t="s">
        <v>578</v>
      </c>
      <c r="AA15" s="1029"/>
      <c r="AB15" s="357">
        <v>0.27700000000000002</v>
      </c>
    </row>
    <row r="16" spans="1:28" ht="30" customHeight="1" x14ac:dyDescent="0.2">
      <c r="A16" s="102" t="s">
        <v>5</v>
      </c>
      <c r="B16" s="1010">
        <v>2030</v>
      </c>
      <c r="C16" s="1010"/>
      <c r="D16" s="1010"/>
      <c r="E16" s="1010"/>
      <c r="Z16" s="1028" t="s">
        <v>579</v>
      </c>
      <c r="AA16" s="1029"/>
      <c r="AB16" s="357">
        <v>0.20269999999999999</v>
      </c>
    </row>
    <row r="17" spans="1:10" ht="30" customHeight="1" x14ac:dyDescent="0.25">
      <c r="A17" s="102" t="s">
        <v>6</v>
      </c>
      <c r="B17" s="1000">
        <f>SUM(G11:L11)</f>
        <v>2000</v>
      </c>
      <c r="C17" s="1000"/>
      <c r="D17" s="1000"/>
      <c r="E17" s="1000"/>
    </row>
    <row r="18" spans="1:10" ht="30" customHeight="1" x14ac:dyDescent="0.25">
      <c r="A18" s="102" t="s">
        <v>7</v>
      </c>
      <c r="B18" s="1000">
        <f>SUM(G12:L12)</f>
        <v>0</v>
      </c>
      <c r="C18" s="1000"/>
      <c r="D18" s="1000"/>
      <c r="E18" s="1000"/>
    </row>
    <row r="19" spans="1:10" ht="30" customHeight="1" x14ac:dyDescent="0.25">
      <c r="A19" s="99" t="s">
        <v>307</v>
      </c>
      <c r="B19" s="1039"/>
      <c r="C19" s="1040"/>
      <c r="D19" s="1040"/>
      <c r="E19" s="1040"/>
      <c r="G19" s="10"/>
      <c r="H19" s="10"/>
    </row>
    <row r="20" spans="1:10" ht="30" customHeight="1" x14ac:dyDescent="0.25">
      <c r="A20" s="96" t="s">
        <v>306</v>
      </c>
      <c r="B20" s="1041"/>
      <c r="C20" s="1042"/>
      <c r="D20" s="1042"/>
      <c r="E20" s="1042"/>
      <c r="G20" s="10"/>
      <c r="H20" s="10"/>
    </row>
    <row r="21" spans="1:10" ht="30" customHeight="1" x14ac:dyDescent="0.25">
      <c r="A21" s="102" t="s">
        <v>8</v>
      </c>
      <c r="B21" s="1000">
        <v>1</v>
      </c>
      <c r="C21" s="1000"/>
      <c r="D21" s="1000"/>
      <c r="E21" s="1000"/>
      <c r="F21" s="45"/>
      <c r="G21" s="9">
        <v>0.86</v>
      </c>
      <c r="I21" s="9">
        <v>7692</v>
      </c>
    </row>
    <row r="22" spans="1:10" ht="30" customHeight="1" x14ac:dyDescent="0.25">
      <c r="A22" s="102" t="s">
        <v>9</v>
      </c>
      <c r="B22" s="1000"/>
      <c r="C22" s="1000"/>
      <c r="D22" s="1000"/>
      <c r="E22" s="1000"/>
      <c r="F22" s="42"/>
      <c r="I22" s="9">
        <f>I21/100</f>
        <v>76.92</v>
      </c>
      <c r="J22" s="9" t="e">
        <f>#REF!*I22</f>
        <v>#REF!</v>
      </c>
    </row>
    <row r="23" spans="1:10" ht="30" customHeight="1" x14ac:dyDescent="0.25">
      <c r="A23" s="102" t="s">
        <v>301</v>
      </c>
      <c r="B23" s="1016">
        <f>B17/(B21+B22)</f>
        <v>2000</v>
      </c>
      <c r="C23" s="1016"/>
      <c r="D23" s="1016"/>
      <c r="E23" s="1016"/>
      <c r="F23" s="46"/>
    </row>
    <row r="24" spans="1:10" ht="30" customHeight="1" x14ac:dyDescent="0.25">
      <c r="A24" s="102" t="s">
        <v>302</v>
      </c>
      <c r="B24" s="1017">
        <f>(B17-B18)/(B21+B22)</f>
        <v>2000</v>
      </c>
      <c r="C24" s="1017"/>
      <c r="D24" s="1017"/>
      <c r="E24" s="1017"/>
      <c r="F24" s="46"/>
    </row>
    <row r="25" spans="1:10" ht="30" customHeight="1" x14ac:dyDescent="0.25">
      <c r="A25" s="103" t="s">
        <v>305</v>
      </c>
      <c r="B25" s="1018">
        <f>B19*G25/1000</f>
        <v>0</v>
      </c>
      <c r="C25" s="1018"/>
      <c r="D25" s="1018"/>
      <c r="E25" s="1018"/>
      <c r="F25" s="47"/>
      <c r="G25" s="9">
        <v>0.26100000000000001</v>
      </c>
    </row>
    <row r="26" spans="1:10" ht="30" customHeight="1" x14ac:dyDescent="0.25">
      <c r="A26" s="104" t="s">
        <v>303</v>
      </c>
      <c r="B26" s="1019">
        <f>B25/'Objectifs CO2'!C11</f>
        <v>0</v>
      </c>
      <c r="C26" s="1019"/>
      <c r="D26" s="1019"/>
      <c r="E26" s="1019"/>
      <c r="F26" s="48"/>
    </row>
    <row r="27" spans="1:10" ht="30" customHeight="1" x14ac:dyDescent="0.25">
      <c r="A27" s="104" t="s">
        <v>304</v>
      </c>
      <c r="B27" s="1020">
        <f>B25/'Objectifs CO2'!C4</f>
        <v>0</v>
      </c>
      <c r="C27" s="1021"/>
      <c r="D27" s="1021"/>
      <c r="E27" s="1021"/>
      <c r="F27" s="49"/>
    </row>
    <row r="28" spans="1:10" ht="30" customHeight="1" x14ac:dyDescent="0.25">
      <c r="A28" s="104" t="s">
        <v>22</v>
      </c>
      <c r="B28" s="999"/>
      <c r="C28" s="999"/>
      <c r="D28" s="999"/>
      <c r="E28" s="999"/>
      <c r="F28" s="50"/>
    </row>
    <row r="29" spans="1:10" ht="30" customHeight="1" x14ac:dyDescent="0.25">
      <c r="A29" s="101" t="s">
        <v>257</v>
      </c>
      <c r="B29" s="999" t="s">
        <v>263</v>
      </c>
      <c r="C29" s="999"/>
      <c r="D29" s="999"/>
      <c r="E29" s="999"/>
    </row>
    <row r="31" spans="1:10" x14ac:dyDescent="0.25">
      <c r="A31" s="603" t="s">
        <v>1065</v>
      </c>
      <c r="B31" s="1003" t="s">
        <v>675</v>
      </c>
      <c r="C31" s="1003"/>
      <c r="D31" s="1003"/>
      <c r="E31" s="56" t="s">
        <v>676</v>
      </c>
      <c r="F31" s="6"/>
      <c r="G31" s="6"/>
      <c r="H31" s="6"/>
      <c r="I31" s="6"/>
    </row>
    <row r="32" spans="1:10"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B43" s="6"/>
      <c r="C43" s="6"/>
      <c r="D43" s="6"/>
      <c r="E43" s="94" t="s">
        <v>730</v>
      </c>
      <c r="F43" s="6"/>
      <c r="G43" s="6"/>
      <c r="H43" s="6"/>
      <c r="I43" s="6"/>
    </row>
    <row r="44" spans="1:12" x14ac:dyDescent="0.25">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t="s">
        <v>980</v>
      </c>
      <c r="C63" s="1022"/>
      <c r="D63" s="1022"/>
      <c r="E63" s="1022"/>
      <c r="F63" s="1022"/>
      <c r="G63" s="1022"/>
      <c r="H63" s="1022"/>
      <c r="I63" s="1022"/>
      <c r="J63" s="1022"/>
      <c r="K63" s="1022"/>
      <c r="L63" s="1022"/>
    </row>
    <row r="64" spans="1:12" x14ac:dyDescent="0.25">
      <c r="A64" s="959"/>
      <c r="B64" s="1022" t="s">
        <v>981</v>
      </c>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0:E20"/>
    <mergeCell ref="B9:E9"/>
    <mergeCell ref="B10:E10"/>
    <mergeCell ref="B11:E11"/>
    <mergeCell ref="B12:E12"/>
    <mergeCell ref="B13:E13"/>
    <mergeCell ref="B19:E19"/>
    <mergeCell ref="B17:E17"/>
    <mergeCell ref="B18:E18"/>
    <mergeCell ref="B16:E16"/>
    <mergeCell ref="B27:E27"/>
    <mergeCell ref="B28:E28"/>
    <mergeCell ref="B29:E29"/>
    <mergeCell ref="B21:E21"/>
    <mergeCell ref="B22:E22"/>
    <mergeCell ref="B23:E23"/>
    <mergeCell ref="B24:E24"/>
    <mergeCell ref="B25:E25"/>
    <mergeCell ref="B26:E26"/>
    <mergeCell ref="Z5:AB5"/>
    <mergeCell ref="Z6:AA6"/>
    <mergeCell ref="Z8:AA8"/>
    <mergeCell ref="Z9:AA9"/>
    <mergeCell ref="Z10:AA10"/>
    <mergeCell ref="Z16:AA16"/>
    <mergeCell ref="Z11:AA11"/>
    <mergeCell ref="Z12:AA12"/>
    <mergeCell ref="Z13:AA13"/>
    <mergeCell ref="Z14:AA14"/>
    <mergeCell ref="Z15:AA15"/>
    <mergeCell ref="B42:D42"/>
    <mergeCell ref="B44:D44"/>
    <mergeCell ref="B37:D37"/>
    <mergeCell ref="B38:D38"/>
    <mergeCell ref="B39:D39"/>
    <mergeCell ref="B40:D40"/>
    <mergeCell ref="B41:D41"/>
    <mergeCell ref="B7:E7"/>
    <mergeCell ref="G7:H7"/>
    <mergeCell ref="B31:D31"/>
    <mergeCell ref="B32:D32"/>
    <mergeCell ref="G32:I32"/>
    <mergeCell ref="B33:D33"/>
    <mergeCell ref="H33:I33"/>
    <mergeCell ref="G40:I40"/>
    <mergeCell ref="B34:D34"/>
    <mergeCell ref="H34:I34"/>
    <mergeCell ref="B35:D35"/>
    <mergeCell ref="H35:I35"/>
    <mergeCell ref="B36:D36"/>
    <mergeCell ref="B8:E8"/>
    <mergeCell ref="G8:G10"/>
    <mergeCell ref="B14:E14"/>
    <mergeCell ref="B15:E15"/>
    <mergeCell ref="A1:E1"/>
    <mergeCell ref="B2:E2"/>
    <mergeCell ref="G2:H2"/>
    <mergeCell ref="B3:E3"/>
    <mergeCell ref="G3:H3"/>
    <mergeCell ref="G4:H4"/>
    <mergeCell ref="G5:H5"/>
    <mergeCell ref="G6:H6"/>
    <mergeCell ref="B4:E4"/>
    <mergeCell ref="B5:E5"/>
    <mergeCell ref="B6:E6"/>
  </mergeCells>
  <conditionalFormatting sqref="B5">
    <cfRule type="containsText" dxfId="323" priority="1" operator="containsText" text="Terminé">
      <formula>NOT(ISERROR(SEARCH("Terminé",B5)))</formula>
    </cfRule>
    <cfRule type="containsText" dxfId="322" priority="2" operator="containsText" text="En cours">
      <formula>NOT(ISERROR(SEARCH("En cours",B5)))</formula>
    </cfRule>
    <cfRule type="containsText" dxfId="32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43"/>
  <sheetViews>
    <sheetView topLeftCell="C3" zoomScale="190" zoomScaleNormal="190" workbookViewId="0">
      <selection activeCell="E16" sqref="E16"/>
    </sheetView>
  </sheetViews>
  <sheetFormatPr baseColWidth="10" defaultColWidth="11.42578125" defaultRowHeight="15" x14ac:dyDescent="0.25"/>
  <cols>
    <col min="1" max="1" width="26.5703125" style="6" customWidth="1"/>
    <col min="2" max="2" width="18.28515625" style="6" customWidth="1"/>
    <col min="3" max="5" width="11.42578125" style="6"/>
    <col min="6" max="6" width="14.42578125" style="6" customWidth="1"/>
    <col min="7" max="7" width="12.85546875" style="6" customWidth="1"/>
    <col min="8" max="9" width="11.42578125" style="6"/>
    <col min="10" max="14" width="9.5703125" style="6" customWidth="1"/>
    <col min="15" max="16384" width="11.42578125" style="6"/>
  </cols>
  <sheetData>
    <row r="1" spans="1:20" ht="26.25" x14ac:dyDescent="0.4">
      <c r="A1" s="4" t="s">
        <v>49</v>
      </c>
      <c r="B1" s="11" t="s">
        <v>936</v>
      </c>
    </row>
    <row r="2" spans="1:20" x14ac:dyDescent="0.25">
      <c r="K2" s="962" t="s">
        <v>840</v>
      </c>
      <c r="L2" s="962"/>
    </row>
    <row r="3" spans="1:20" ht="18.75" x14ac:dyDescent="0.3">
      <c r="A3" s="19" t="s">
        <v>65</v>
      </c>
      <c r="B3" s="31">
        <f>AB33</f>
        <v>215029.19245270186</v>
      </c>
      <c r="C3" s="23" t="s">
        <v>64</v>
      </c>
      <c r="D3" s="23" t="s">
        <v>13</v>
      </c>
      <c r="E3" s="20" t="s">
        <v>30</v>
      </c>
      <c r="F3" s="20" t="s">
        <v>60</v>
      </c>
      <c r="G3" s="13" t="s">
        <v>61</v>
      </c>
      <c r="K3" s="962" t="s">
        <v>753</v>
      </c>
      <c r="L3" s="962"/>
      <c r="P3" s="6" t="s">
        <v>16</v>
      </c>
    </row>
    <row r="4" spans="1:20" x14ac:dyDescent="0.25">
      <c r="A4" s="28"/>
      <c r="B4" s="28" t="s">
        <v>11</v>
      </c>
      <c r="C4" s="32">
        <f>B3*D4</f>
        <v>58057.881962229505</v>
      </c>
      <c r="D4" s="24">
        <v>0.27</v>
      </c>
      <c r="E4" s="29">
        <f>SUM(E5:E11)</f>
        <v>29386.037295998729</v>
      </c>
      <c r="F4" s="14">
        <f>E4/B$3</f>
        <v>0.1366606876062306</v>
      </c>
      <c r="G4" s="26">
        <f>E4/C$4</f>
        <v>0.5061506948378911</v>
      </c>
      <c r="P4" s="6" t="s">
        <v>17</v>
      </c>
    </row>
    <row r="5" spans="1:20" x14ac:dyDescent="0.25">
      <c r="A5" s="974" t="s">
        <v>21</v>
      </c>
      <c r="B5" s="279" t="s">
        <v>380</v>
      </c>
      <c r="C5" s="16">
        <f t="shared" ref="C5:C11" si="0">C$4*D5</f>
        <v>2902.8940981114756</v>
      </c>
      <c r="D5" s="17">
        <v>0.05</v>
      </c>
      <c r="E5" s="18">
        <f>SUM('Synthèse ECO'!S130)</f>
        <v>0</v>
      </c>
      <c r="F5" s="14">
        <f>E5/B$3</f>
        <v>0</v>
      </c>
      <c r="G5" s="26">
        <f>E5/C$4</f>
        <v>0</v>
      </c>
    </row>
    <row r="6" spans="1:20" x14ac:dyDescent="0.25">
      <c r="A6" s="974"/>
      <c r="B6" s="21" t="s">
        <v>36</v>
      </c>
      <c r="C6" s="16">
        <f t="shared" si="0"/>
        <v>2902.8940981114756</v>
      </c>
      <c r="D6" s="17">
        <v>0.05</v>
      </c>
      <c r="E6" s="18">
        <f>SUM('Synthèse ECO'!T130)</f>
        <v>0</v>
      </c>
      <c r="F6" s="14">
        <f t="shared" ref="F6:F11" si="1">E6/B$3</f>
        <v>0</v>
      </c>
      <c r="G6" s="26">
        <f t="shared" ref="G6:G11" si="2">E6/C$4</f>
        <v>0</v>
      </c>
      <c r="P6" s="6" t="s">
        <v>18</v>
      </c>
    </row>
    <row r="7" spans="1:20" x14ac:dyDescent="0.25">
      <c r="A7" s="974"/>
      <c r="B7" s="22" t="s">
        <v>54</v>
      </c>
      <c r="C7" s="16">
        <f t="shared" si="0"/>
        <v>2902.8940981114756</v>
      </c>
      <c r="D7" s="17">
        <v>0.05</v>
      </c>
      <c r="E7" s="18">
        <f>SUM('Synthèse ECO'!U130)</f>
        <v>12586.160973904669</v>
      </c>
      <c r="F7" s="14">
        <f t="shared" si="1"/>
        <v>5.8532336146279951E-2</v>
      </c>
      <c r="G7" s="26">
        <f t="shared" si="2"/>
        <v>0.21678643017140722</v>
      </c>
      <c r="P7" s="6" t="s">
        <v>19</v>
      </c>
    </row>
    <row r="8" spans="1:20" x14ac:dyDescent="0.25">
      <c r="A8" s="974"/>
      <c r="B8" s="21" t="s">
        <v>31</v>
      </c>
      <c r="C8" s="16">
        <f t="shared" si="0"/>
        <v>29028.940981114753</v>
      </c>
      <c r="D8" s="17">
        <v>0.5</v>
      </c>
      <c r="E8" s="18">
        <f>SUM('Synthèse ECO'!V130)</f>
        <v>14447.358442094219</v>
      </c>
      <c r="F8" s="14">
        <f t="shared" si="1"/>
        <v>6.7187893314867381E-2</v>
      </c>
      <c r="G8" s="26">
        <f t="shared" si="2"/>
        <v>0.24884404931432363</v>
      </c>
      <c r="P8" s="6" t="s">
        <v>41</v>
      </c>
    </row>
    <row r="9" spans="1:20" x14ac:dyDescent="0.25">
      <c r="A9" s="974"/>
      <c r="B9" s="21" t="s">
        <v>38</v>
      </c>
      <c r="C9" s="16">
        <f t="shared" si="0"/>
        <v>5805.7881962229512</v>
      </c>
      <c r="D9" s="17">
        <v>0.1</v>
      </c>
      <c r="E9" s="18">
        <f>SUM('Synthèse ECO'!W130)</f>
        <v>1072.4031818181816</v>
      </c>
      <c r="F9" s="14">
        <f t="shared" si="1"/>
        <v>4.9872446135613372E-3</v>
      </c>
      <c r="G9" s="26">
        <f t="shared" si="2"/>
        <v>1.8471276346523471E-2</v>
      </c>
      <c r="P9" s="6" t="s">
        <v>20</v>
      </c>
    </row>
    <row r="10" spans="1:20" x14ac:dyDescent="0.25">
      <c r="A10" s="974"/>
      <c r="B10" s="21" t="s">
        <v>34</v>
      </c>
      <c r="C10" s="16">
        <f t="shared" si="0"/>
        <v>8708.682294334425</v>
      </c>
      <c r="D10" s="17">
        <v>0.15</v>
      </c>
      <c r="E10" s="18">
        <f>SUM('Synthèse ECO'!X130)</f>
        <v>1076.9521981816583</v>
      </c>
      <c r="F10" s="14">
        <f t="shared" si="1"/>
        <v>5.00839995675725E-3</v>
      </c>
      <c r="G10" s="26">
        <f t="shared" si="2"/>
        <v>1.8549629469471293E-2</v>
      </c>
    </row>
    <row r="11" spans="1:20" ht="15.75" thickBot="1" x14ac:dyDescent="0.3">
      <c r="A11" s="975"/>
      <c r="B11" s="21" t="s">
        <v>37</v>
      </c>
      <c r="C11" s="16">
        <f t="shared" si="0"/>
        <v>5805.7881962229512</v>
      </c>
      <c r="D11" s="17">
        <v>0.1</v>
      </c>
      <c r="E11" s="18">
        <f>SUM('Synthèse ECO'!Y130)</f>
        <v>203.16249999999999</v>
      </c>
      <c r="F11" s="12">
        <f t="shared" si="1"/>
        <v>9.4481357476468189E-4</v>
      </c>
      <c r="G11" s="27">
        <f t="shared" si="2"/>
        <v>3.4993095361654882E-3</v>
      </c>
    </row>
    <row r="12" spans="1:20" x14ac:dyDescent="0.25">
      <c r="A12" s="5"/>
      <c r="D12" s="15">
        <f>SUM(D5:D11)</f>
        <v>1</v>
      </c>
    </row>
    <row r="13" spans="1:20" x14ac:dyDescent="0.25">
      <c r="B13" s="971" t="s">
        <v>632</v>
      </c>
      <c r="C13" s="971"/>
      <c r="D13" s="971"/>
      <c r="E13" s="971"/>
      <c r="F13" s="971"/>
      <c r="G13" s="972" t="s">
        <v>631</v>
      </c>
      <c r="H13" s="973"/>
      <c r="I13" s="973"/>
      <c r="J13" s="973"/>
      <c r="K13" s="973"/>
      <c r="L13" s="973"/>
      <c r="M13" s="973"/>
      <c r="N13" s="973"/>
      <c r="O13" s="973"/>
      <c r="P13" s="973"/>
      <c r="Q13" s="973"/>
      <c r="R13" s="964" t="s">
        <v>630</v>
      </c>
      <c r="S13" s="964"/>
      <c r="T13" s="964"/>
    </row>
    <row r="14" spans="1:20" x14ac:dyDescent="0.25">
      <c r="B14" s="971" t="s">
        <v>744</v>
      </c>
      <c r="C14" s="971"/>
      <c r="D14" s="971" t="s">
        <v>434</v>
      </c>
      <c r="E14" s="971"/>
      <c r="F14" s="564" t="s">
        <v>742</v>
      </c>
      <c r="G14" s="976" t="s">
        <v>457</v>
      </c>
      <c r="H14" s="976"/>
      <c r="I14" s="976"/>
      <c r="J14" s="965" t="s">
        <v>746</v>
      </c>
      <c r="K14" s="966"/>
      <c r="L14" s="968" t="s">
        <v>747</v>
      </c>
      <c r="M14" s="969"/>
      <c r="N14" s="970"/>
      <c r="O14" s="563" t="s">
        <v>748</v>
      </c>
      <c r="P14" s="563" t="s">
        <v>813</v>
      </c>
      <c r="Q14" s="421" t="s">
        <v>814</v>
      </c>
      <c r="R14" s="964" t="s">
        <v>815</v>
      </c>
      <c r="S14" s="964"/>
      <c r="T14" s="411" t="s">
        <v>816</v>
      </c>
    </row>
    <row r="15" spans="1:20" x14ac:dyDescent="0.25">
      <c r="B15" s="370" t="s">
        <v>122</v>
      </c>
      <c r="C15" s="590" t="s">
        <v>245</v>
      </c>
      <c r="D15" s="370" t="s">
        <v>770</v>
      </c>
      <c r="E15" s="370" t="s">
        <v>868</v>
      </c>
      <c r="F15" s="370" t="s">
        <v>779</v>
      </c>
      <c r="G15" s="369" t="s">
        <v>70</v>
      </c>
      <c r="H15" s="369" t="s">
        <v>485</v>
      </c>
      <c r="I15" s="369" t="s">
        <v>95</v>
      </c>
      <c r="J15" s="369" t="s">
        <v>812</v>
      </c>
      <c r="K15" s="369" t="s">
        <v>921</v>
      </c>
      <c r="L15" s="369" t="s">
        <v>805</v>
      </c>
      <c r="M15" s="369" t="s">
        <v>798</v>
      </c>
      <c r="N15" s="369" t="s">
        <v>795</v>
      </c>
      <c r="O15" s="369" t="s">
        <v>792</v>
      </c>
      <c r="P15" s="563"/>
      <c r="Q15" s="369" t="s">
        <v>785</v>
      </c>
      <c r="R15" s="371" t="s">
        <v>617</v>
      </c>
      <c r="S15" s="371" t="s">
        <v>627</v>
      </c>
      <c r="T15" s="371" t="s">
        <v>784</v>
      </c>
    </row>
    <row r="16" spans="1:20" x14ac:dyDescent="0.25">
      <c r="B16" s="370" t="s">
        <v>123</v>
      </c>
      <c r="C16" s="410"/>
      <c r="D16" s="370" t="s">
        <v>771</v>
      </c>
      <c r="E16" s="370" t="s">
        <v>869</v>
      </c>
      <c r="F16" s="370" t="s">
        <v>780</v>
      </c>
      <c r="G16" s="369" t="s">
        <v>71</v>
      </c>
      <c r="H16" s="369" t="s">
        <v>82</v>
      </c>
      <c r="I16" s="369" t="s">
        <v>96</v>
      </c>
      <c r="J16" s="369" t="s">
        <v>811</v>
      </c>
      <c r="K16" s="369" t="s">
        <v>251</v>
      </c>
      <c r="L16" s="369" t="s">
        <v>804</v>
      </c>
      <c r="M16" s="369" t="s">
        <v>797</v>
      </c>
      <c r="N16" s="369" t="s">
        <v>794</v>
      </c>
      <c r="O16" s="369" t="s">
        <v>791</v>
      </c>
      <c r="P16" s="369" t="s">
        <v>789</v>
      </c>
      <c r="Q16" s="563"/>
      <c r="R16" s="371" t="s">
        <v>618</v>
      </c>
      <c r="S16" s="371" t="s">
        <v>628</v>
      </c>
      <c r="T16" s="371" t="s">
        <v>783</v>
      </c>
    </row>
    <row r="17" spans="2:28" x14ac:dyDescent="0.25">
      <c r="B17" s="370" t="s">
        <v>78</v>
      </c>
      <c r="C17" s="410"/>
      <c r="D17" s="370" t="s">
        <v>772</v>
      </c>
      <c r="E17" s="370" t="s">
        <v>870</v>
      </c>
      <c r="F17" s="564"/>
      <c r="G17" s="369" t="s">
        <v>72</v>
      </c>
      <c r="H17" s="369" t="s">
        <v>84</v>
      </c>
      <c r="I17" s="369" t="s">
        <v>97</v>
      </c>
      <c r="J17" s="369" t="s">
        <v>810</v>
      </c>
      <c r="K17" s="563"/>
      <c r="L17" s="369" t="s">
        <v>803</v>
      </c>
      <c r="M17" s="369" t="s">
        <v>796</v>
      </c>
      <c r="N17" s="369" t="s">
        <v>793</v>
      </c>
      <c r="O17" s="369" t="s">
        <v>790</v>
      </c>
      <c r="P17" s="369" t="s">
        <v>788</v>
      </c>
      <c r="Q17" s="563"/>
      <c r="R17" s="371" t="s">
        <v>619</v>
      </c>
      <c r="S17" s="371" t="s">
        <v>629</v>
      </c>
      <c r="T17" s="371" t="s">
        <v>782</v>
      </c>
    </row>
    <row r="18" spans="2:28" x14ac:dyDescent="0.25">
      <c r="B18" s="370" t="s">
        <v>126</v>
      </c>
      <c r="C18" s="410"/>
      <c r="D18" s="370" t="s">
        <v>773</v>
      </c>
      <c r="E18" s="370" t="s">
        <v>871</v>
      </c>
      <c r="F18" s="410"/>
      <c r="G18" s="369" t="s">
        <v>759</v>
      </c>
      <c r="H18" s="369" t="s">
        <v>88</v>
      </c>
      <c r="I18" s="369" t="s">
        <v>99</v>
      </c>
      <c r="J18" s="369" t="s">
        <v>809</v>
      </c>
      <c r="K18" s="563"/>
      <c r="L18" s="369" t="s">
        <v>802</v>
      </c>
      <c r="M18" s="369" t="s">
        <v>841</v>
      </c>
      <c r="N18" s="369" t="s">
        <v>902</v>
      </c>
      <c r="O18" s="369" t="s">
        <v>849</v>
      </c>
      <c r="P18" s="369" t="s">
        <v>787</v>
      </c>
      <c r="Q18" s="563"/>
      <c r="R18" s="371" t="s">
        <v>620</v>
      </c>
      <c r="S18" s="411"/>
      <c r="T18" s="371" t="s">
        <v>781</v>
      </c>
    </row>
    <row r="19" spans="2:28" x14ac:dyDescent="0.25">
      <c r="B19" s="370" t="s">
        <v>132</v>
      </c>
      <c r="C19" s="410"/>
      <c r="D19" s="370" t="s">
        <v>774</v>
      </c>
      <c r="E19" s="370" t="s">
        <v>987</v>
      </c>
      <c r="F19" s="410"/>
      <c r="G19" s="369" t="s">
        <v>73</v>
      </c>
      <c r="H19" s="369" t="s">
        <v>89</v>
      </c>
      <c r="I19" s="369" t="s">
        <v>101</v>
      </c>
      <c r="J19" s="369" t="s">
        <v>808</v>
      </c>
      <c r="K19" s="563"/>
      <c r="L19" s="369" t="s">
        <v>801</v>
      </c>
      <c r="M19" s="563"/>
      <c r="N19" s="369" t="s">
        <v>903</v>
      </c>
      <c r="O19" s="563"/>
      <c r="P19" s="369" t="s">
        <v>786</v>
      </c>
      <c r="Q19" s="563"/>
      <c r="R19" s="371" t="s">
        <v>621</v>
      </c>
      <c r="S19" s="411"/>
      <c r="T19" s="411"/>
    </row>
    <row r="20" spans="2:28" x14ac:dyDescent="0.25">
      <c r="B20" s="370" t="s">
        <v>131</v>
      </c>
      <c r="C20" s="410"/>
      <c r="D20" s="370" t="s">
        <v>775</v>
      </c>
      <c r="E20" s="370" t="s">
        <v>990</v>
      </c>
      <c r="F20" s="410"/>
      <c r="G20" s="369" t="s">
        <v>74</v>
      </c>
      <c r="H20" s="369" t="s">
        <v>90</v>
      </c>
      <c r="I20" s="369" t="s">
        <v>103</v>
      </c>
      <c r="J20" s="369" t="s">
        <v>807</v>
      </c>
      <c r="K20" s="563"/>
      <c r="L20" s="369" t="s">
        <v>800</v>
      </c>
      <c r="M20" s="563"/>
      <c r="N20" s="369" t="s">
        <v>904</v>
      </c>
      <c r="O20" s="563"/>
      <c r="P20" s="563"/>
      <c r="Q20" s="563"/>
      <c r="R20" s="371" t="s">
        <v>622</v>
      </c>
      <c r="S20" s="411"/>
      <c r="T20" s="411"/>
    </row>
    <row r="21" spans="2:28" x14ac:dyDescent="0.25">
      <c r="B21" s="370" t="s">
        <v>125</v>
      </c>
      <c r="C21" s="410"/>
      <c r="D21" s="370" t="s">
        <v>776</v>
      </c>
      <c r="E21" s="564"/>
      <c r="F21" s="410"/>
      <c r="G21" s="369" t="s">
        <v>75</v>
      </c>
      <c r="H21" s="369" t="s">
        <v>91</v>
      </c>
      <c r="I21" s="369" t="s">
        <v>105</v>
      </c>
      <c r="J21" s="369" t="s">
        <v>806</v>
      </c>
      <c r="K21" s="563"/>
      <c r="L21" s="369" t="s">
        <v>799</v>
      </c>
      <c r="M21" s="563"/>
      <c r="N21" s="563"/>
      <c r="O21" s="563"/>
      <c r="P21" s="563"/>
      <c r="Q21" s="563"/>
      <c r="R21" s="371" t="s">
        <v>623</v>
      </c>
      <c r="S21" s="411"/>
      <c r="T21" s="411"/>
    </row>
    <row r="22" spans="2:28" x14ac:dyDescent="0.25">
      <c r="B22" s="370" t="s">
        <v>134</v>
      </c>
      <c r="C22" s="410"/>
      <c r="D22" s="370" t="s">
        <v>777</v>
      </c>
      <c r="E22" s="564"/>
      <c r="F22" s="410"/>
      <c r="G22" s="369" t="s">
        <v>79</v>
      </c>
      <c r="H22" s="369" t="s">
        <v>92</v>
      </c>
      <c r="I22" s="369" t="s">
        <v>112</v>
      </c>
      <c r="J22" s="369" t="s">
        <v>906</v>
      </c>
      <c r="K22" s="563"/>
      <c r="L22" s="369" t="s">
        <v>844</v>
      </c>
      <c r="M22" s="563"/>
      <c r="N22" s="563"/>
      <c r="O22" s="563"/>
      <c r="P22" s="563"/>
      <c r="Q22" s="563"/>
      <c r="R22" s="371" t="s">
        <v>624</v>
      </c>
      <c r="S22" s="562"/>
      <c r="T22" s="411"/>
    </row>
    <row r="23" spans="2:28" x14ac:dyDescent="0.25">
      <c r="B23" s="370" t="s">
        <v>135</v>
      </c>
      <c r="C23" s="410"/>
      <c r="D23" s="370" t="s">
        <v>778</v>
      </c>
      <c r="E23" s="564"/>
      <c r="F23" s="410"/>
      <c r="G23" s="369" t="s">
        <v>80</v>
      </c>
      <c r="H23" s="369" t="s">
        <v>93</v>
      </c>
      <c r="I23" s="369" t="s">
        <v>113</v>
      </c>
      <c r="J23" s="369" t="s">
        <v>923</v>
      </c>
      <c r="K23" s="563"/>
      <c r="L23" s="563"/>
      <c r="M23" s="563"/>
      <c r="N23" s="563"/>
      <c r="O23" s="563"/>
      <c r="P23" s="563"/>
      <c r="Q23" s="563"/>
      <c r="R23" s="371" t="s">
        <v>625</v>
      </c>
      <c r="S23" s="562"/>
      <c r="T23" s="411"/>
    </row>
    <row r="24" spans="2:28" x14ac:dyDescent="0.25">
      <c r="B24" s="370" t="s">
        <v>244</v>
      </c>
      <c r="C24" s="410"/>
      <c r="D24" s="370" t="s">
        <v>867</v>
      </c>
      <c r="E24" s="564"/>
      <c r="F24" s="410"/>
      <c r="G24" s="369" t="s">
        <v>81</v>
      </c>
      <c r="H24" s="369" t="s">
        <v>94</v>
      </c>
      <c r="I24" s="563"/>
      <c r="J24" s="369" t="s">
        <v>922</v>
      </c>
      <c r="K24" s="563"/>
      <c r="L24" s="563"/>
      <c r="M24" s="563"/>
      <c r="N24" s="563"/>
      <c r="O24" s="563"/>
      <c r="P24" s="563"/>
      <c r="Q24" s="563"/>
      <c r="R24" s="371" t="s">
        <v>626</v>
      </c>
      <c r="S24" s="562"/>
      <c r="T24" s="411"/>
    </row>
    <row r="26" spans="2:28" x14ac:dyDescent="0.25">
      <c r="I26" s="194"/>
      <c r="J26" s="963" t="s">
        <v>56</v>
      </c>
      <c r="K26" s="963"/>
      <c r="L26" s="963"/>
      <c r="M26" s="963"/>
      <c r="N26" s="963"/>
      <c r="O26" s="195"/>
      <c r="P26" s="194"/>
      <c r="Q26" s="960" t="s">
        <v>456</v>
      </c>
      <c r="R26" s="960"/>
      <c r="S26" s="960"/>
      <c r="T26" s="960"/>
      <c r="U26" s="960"/>
      <c r="V26" s="195"/>
      <c r="W26" s="194"/>
      <c r="X26" s="960" t="s">
        <v>64</v>
      </c>
      <c r="Y26" s="960"/>
      <c r="Z26" s="960"/>
      <c r="AA26" s="960"/>
      <c r="AB26" s="960"/>
    </row>
    <row r="27" spans="2:28" x14ac:dyDescent="0.25">
      <c r="I27" s="540">
        <v>2006</v>
      </c>
      <c r="J27" s="196" t="s">
        <v>50</v>
      </c>
      <c r="K27" s="196" t="s">
        <v>51</v>
      </c>
      <c r="L27" s="196" t="s">
        <v>52</v>
      </c>
      <c r="M27" s="196" t="s">
        <v>57</v>
      </c>
      <c r="N27" s="196" t="s">
        <v>53</v>
      </c>
      <c r="O27" s="195"/>
      <c r="P27" s="197">
        <v>2006</v>
      </c>
      <c r="Q27" s="198" t="s">
        <v>50</v>
      </c>
      <c r="R27" s="198" t="s">
        <v>51</v>
      </c>
      <c r="S27" s="198" t="s">
        <v>52</v>
      </c>
      <c r="T27" s="198" t="s">
        <v>57</v>
      </c>
      <c r="U27" s="198" t="s">
        <v>53</v>
      </c>
      <c r="V27" s="195"/>
      <c r="W27" s="197">
        <v>2006</v>
      </c>
      <c r="X27" s="198" t="s">
        <v>50</v>
      </c>
      <c r="Y27" s="198" t="s">
        <v>51</v>
      </c>
      <c r="Z27" s="198" t="s">
        <v>52</v>
      </c>
      <c r="AA27" s="198" t="s">
        <v>57</v>
      </c>
      <c r="AB27" s="198" t="s">
        <v>53</v>
      </c>
    </row>
    <row r="28" spans="2:28" x14ac:dyDescent="0.25">
      <c r="I28" s="464" t="s">
        <v>36</v>
      </c>
      <c r="J28" s="551">
        <v>54.665354061898213</v>
      </c>
      <c r="K28" s="552">
        <v>0</v>
      </c>
      <c r="L28" s="553">
        <v>828.33230499678359</v>
      </c>
      <c r="M28" s="552">
        <v>0</v>
      </c>
      <c r="N28" s="553">
        <v>882.99765905868185</v>
      </c>
      <c r="O28" s="195"/>
      <c r="P28" s="465" t="s">
        <v>36</v>
      </c>
      <c r="Q28" s="495">
        <v>0.1973478485989105</v>
      </c>
      <c r="R28" s="197"/>
      <c r="S28" s="495">
        <v>3.0884873415241745</v>
      </c>
      <c r="T28" s="197"/>
      <c r="U28" s="496">
        <v>3.2858351901230849</v>
      </c>
      <c r="V28" s="195"/>
      <c r="W28" s="465" t="s">
        <v>36</v>
      </c>
      <c r="X28" s="554">
        <v>197.3478485989105</v>
      </c>
      <c r="Y28" s="554">
        <v>0</v>
      </c>
      <c r="Z28" s="554">
        <v>3088.4873415241746</v>
      </c>
      <c r="AA28" s="554">
        <v>0</v>
      </c>
      <c r="AB28" s="554">
        <v>3285.8351901230849</v>
      </c>
    </row>
    <row r="29" spans="2:28" x14ac:dyDescent="0.25">
      <c r="I29" s="464" t="s">
        <v>69</v>
      </c>
      <c r="J29" s="553">
        <v>10660.259538345292</v>
      </c>
      <c r="K29" s="553">
        <v>4627.3944918884717</v>
      </c>
      <c r="L29" s="553">
        <v>132.43928666191243</v>
      </c>
      <c r="M29" s="553">
        <v>0</v>
      </c>
      <c r="N29" s="553">
        <v>15420.093316895676</v>
      </c>
      <c r="O29" s="195"/>
      <c r="P29" s="465" t="s">
        <v>69</v>
      </c>
      <c r="Q29" s="466">
        <v>38.484691474170724</v>
      </c>
      <c r="R29" s="466">
        <v>22.82878387710149</v>
      </c>
      <c r="S29" s="466">
        <v>0.49380792938818951</v>
      </c>
      <c r="T29" s="466">
        <v>0</v>
      </c>
      <c r="U29" s="496">
        <v>61.807283280660407</v>
      </c>
      <c r="V29" s="195"/>
      <c r="W29" s="465" t="s">
        <v>69</v>
      </c>
      <c r="X29" s="554">
        <v>38484.691474170722</v>
      </c>
      <c r="Y29" s="554">
        <v>22828.78387710149</v>
      </c>
      <c r="Z29" s="554">
        <v>493.80792938818951</v>
      </c>
      <c r="AA29" s="554">
        <v>0</v>
      </c>
      <c r="AB29" s="554">
        <v>61807.283280660406</v>
      </c>
    </row>
    <row r="30" spans="2:28" x14ac:dyDescent="0.25">
      <c r="I30" s="464" t="s">
        <v>31</v>
      </c>
      <c r="J30" s="553">
        <v>4597.7784958049206</v>
      </c>
      <c r="K30" s="553">
        <v>3370.6534490144518</v>
      </c>
      <c r="L30" s="553">
        <v>12573.840705478799</v>
      </c>
      <c r="M30" s="553">
        <v>126.68460143828345</v>
      </c>
      <c r="N30" s="553">
        <v>20668.957251736454</v>
      </c>
      <c r="O30" s="195"/>
      <c r="P30" s="465" t="s">
        <v>31</v>
      </c>
      <c r="Q30" s="466">
        <v>16.598478324205487</v>
      </c>
      <c r="R30" s="466">
        <v>16.628778732187726</v>
      </c>
      <c r="S30" s="466">
        <v>46.882329252344512</v>
      </c>
      <c r="T30" s="466">
        <v>4.0474313558557009</v>
      </c>
      <c r="U30" s="496">
        <v>84.15701766459344</v>
      </c>
      <c r="V30" s="195"/>
      <c r="W30" s="465" t="s">
        <v>31</v>
      </c>
      <c r="X30" s="554">
        <v>16598.478324205487</v>
      </c>
      <c r="Y30" s="554">
        <v>16628.778732187726</v>
      </c>
      <c r="Z30" s="554">
        <v>46882.329252344512</v>
      </c>
      <c r="AA30" s="554">
        <v>4047.431355855701</v>
      </c>
      <c r="AB30" s="554">
        <v>84157.017664593441</v>
      </c>
    </row>
    <row r="31" spans="2:28" x14ac:dyDescent="0.25">
      <c r="I31" s="464" t="s">
        <v>38</v>
      </c>
      <c r="J31" s="553">
        <v>3637.240638182785</v>
      </c>
      <c r="K31" s="553">
        <v>1634.1282510476699</v>
      </c>
      <c r="L31" s="553">
        <v>1057.2729282013402</v>
      </c>
      <c r="M31" s="553">
        <v>0.3249731779582547</v>
      </c>
      <c r="N31" s="553">
        <v>6328.9667906097529</v>
      </c>
      <c r="O31" s="195"/>
      <c r="P31" s="465" t="s">
        <v>38</v>
      </c>
      <c r="Q31" s="466">
        <v>13.130832628818718</v>
      </c>
      <c r="R31" s="466">
        <v>8.0618068625933397</v>
      </c>
      <c r="S31" s="466">
        <v>3.9421063691325138</v>
      </c>
      <c r="T31" s="466">
        <v>2.754009982697074E-2</v>
      </c>
      <c r="U31" s="496">
        <v>25.162285960371545</v>
      </c>
      <c r="V31" s="195"/>
      <c r="W31" s="465" t="s">
        <v>38</v>
      </c>
      <c r="X31" s="554">
        <v>13130.832628818718</v>
      </c>
      <c r="Y31" s="554">
        <v>8061.8068625933392</v>
      </c>
      <c r="Z31" s="554">
        <v>3942.1063691325139</v>
      </c>
      <c r="AA31" s="554">
        <v>27.540099826970739</v>
      </c>
      <c r="AB31" s="554">
        <v>25162.285960371544</v>
      </c>
    </row>
    <row r="32" spans="2:28" x14ac:dyDescent="0.25">
      <c r="I32" s="464" t="s">
        <v>34</v>
      </c>
      <c r="J32" s="553">
        <v>310.47267175260009</v>
      </c>
      <c r="K32" s="553">
        <v>0</v>
      </c>
      <c r="L32" s="553">
        <v>10592.808529720287</v>
      </c>
      <c r="M32" s="553">
        <v>0</v>
      </c>
      <c r="N32" s="553">
        <v>10903.281201472888</v>
      </c>
      <c r="O32" s="195"/>
      <c r="P32" s="465" t="s">
        <v>34</v>
      </c>
      <c r="Q32" s="466">
        <v>1.120839970225993</v>
      </c>
      <c r="R32" s="197"/>
      <c r="S32" s="466">
        <v>39.495930386727395</v>
      </c>
      <c r="T32" s="197"/>
      <c r="U32" s="496">
        <v>40.616770356953388</v>
      </c>
      <c r="V32" s="195"/>
      <c r="W32" s="465" t="s">
        <v>34</v>
      </c>
      <c r="X32" s="554">
        <v>1120.8399702259931</v>
      </c>
      <c r="Y32" s="554">
        <v>0</v>
      </c>
      <c r="Z32" s="554">
        <v>39495.930386727392</v>
      </c>
      <c r="AA32" s="554">
        <v>0</v>
      </c>
      <c r="AB32" s="554">
        <v>40616.770356953391</v>
      </c>
    </row>
    <row r="33" spans="9:29" x14ac:dyDescent="0.25">
      <c r="I33" s="467" t="s">
        <v>58</v>
      </c>
      <c r="J33" s="555">
        <v>19260.416698147495</v>
      </c>
      <c r="K33" s="555">
        <v>9632.1761919505934</v>
      </c>
      <c r="L33" s="555">
        <v>25184.693755059125</v>
      </c>
      <c r="M33" s="555">
        <v>127.00957461624171</v>
      </c>
      <c r="N33" s="555">
        <v>54204.29621977346</v>
      </c>
      <c r="O33" s="195"/>
      <c r="P33" s="468" t="s">
        <v>58</v>
      </c>
      <c r="Q33" s="496">
        <v>69.532190246019823</v>
      </c>
      <c r="R33" s="496">
        <v>47.519369471882555</v>
      </c>
      <c r="S33" s="496">
        <v>93.902661279116785</v>
      </c>
      <c r="T33" s="496">
        <v>4.0749714556826717</v>
      </c>
      <c r="U33" s="496">
        <v>215.02919245270186</v>
      </c>
      <c r="V33" s="195"/>
      <c r="W33" s="468" t="s">
        <v>58</v>
      </c>
      <c r="X33" s="554">
        <v>69532.190246019818</v>
      </c>
      <c r="Y33" s="554">
        <v>47519.369471882557</v>
      </c>
      <c r="Z33" s="554">
        <v>93902.661279116786</v>
      </c>
      <c r="AA33" s="554">
        <v>4074.9714556826716</v>
      </c>
      <c r="AB33" s="554">
        <v>215029.19245270186</v>
      </c>
    </row>
    <row r="34" spans="9:29" x14ac:dyDescent="0.25">
      <c r="I34" s="195"/>
      <c r="J34" s="195"/>
      <c r="K34" s="195"/>
      <c r="L34" s="195"/>
      <c r="M34" s="195"/>
      <c r="N34" s="195"/>
      <c r="O34" s="195"/>
      <c r="P34" s="195"/>
      <c r="Q34" s="195"/>
      <c r="R34" s="195"/>
      <c r="S34" s="195"/>
      <c r="T34" s="195"/>
      <c r="U34" s="195"/>
      <c r="V34" s="195"/>
      <c r="W34" s="556"/>
      <c r="X34" s="195"/>
      <c r="Y34" s="195"/>
      <c r="Z34" s="195"/>
      <c r="AA34" s="195"/>
      <c r="AB34" s="195"/>
    </row>
    <row r="35" spans="9:29" x14ac:dyDescent="0.25">
      <c r="I35" s="540"/>
      <c r="J35" s="963" t="s">
        <v>56</v>
      </c>
      <c r="K35" s="963"/>
      <c r="L35" s="963"/>
      <c r="M35" s="963"/>
      <c r="N35" s="963"/>
      <c r="O35" s="195"/>
      <c r="P35" s="197"/>
      <c r="Q35" s="960" t="s">
        <v>456</v>
      </c>
      <c r="R35" s="960"/>
      <c r="S35" s="960"/>
      <c r="T35" s="960"/>
      <c r="U35" s="960"/>
      <c r="V35" s="195"/>
      <c r="W35" s="194"/>
      <c r="X35" s="960" t="s">
        <v>64</v>
      </c>
      <c r="Y35" s="960"/>
      <c r="Z35" s="960"/>
      <c r="AA35" s="960"/>
      <c r="AB35" s="960"/>
    </row>
    <row r="36" spans="9:29" x14ac:dyDescent="0.25">
      <c r="I36" s="540">
        <v>2014</v>
      </c>
      <c r="J36" s="196" t="s">
        <v>50</v>
      </c>
      <c r="K36" s="196" t="s">
        <v>51</v>
      </c>
      <c r="L36" s="196" t="s">
        <v>52</v>
      </c>
      <c r="M36" s="196" t="s">
        <v>57</v>
      </c>
      <c r="N36" s="196" t="s">
        <v>53</v>
      </c>
      <c r="O36" s="195"/>
      <c r="P36" s="197">
        <v>2014</v>
      </c>
      <c r="Q36" s="198" t="s">
        <v>50</v>
      </c>
      <c r="R36" s="198" t="s">
        <v>51</v>
      </c>
      <c r="S36" s="198" t="s">
        <v>52</v>
      </c>
      <c r="T36" s="198" t="s">
        <v>57</v>
      </c>
      <c r="U36" s="198" t="s">
        <v>53</v>
      </c>
      <c r="V36" s="195"/>
      <c r="W36" s="197">
        <v>2014</v>
      </c>
      <c r="X36" s="198" t="s">
        <v>50</v>
      </c>
      <c r="Y36" s="198" t="s">
        <v>51</v>
      </c>
      <c r="Z36" s="198" t="s">
        <v>52</v>
      </c>
      <c r="AA36" s="198" t="s">
        <v>57</v>
      </c>
      <c r="AB36" s="198" t="s">
        <v>53</v>
      </c>
    </row>
    <row r="37" spans="9:29" x14ac:dyDescent="0.25">
      <c r="I37" s="464" t="s">
        <v>36</v>
      </c>
      <c r="J37" s="557">
        <v>65.636251746101664</v>
      </c>
      <c r="K37" s="557">
        <v>0</v>
      </c>
      <c r="L37" s="557">
        <v>867.24140336066625</v>
      </c>
      <c r="M37" s="557">
        <v>0</v>
      </c>
      <c r="N37" s="558">
        <v>932.87765510676786</v>
      </c>
      <c r="O37" s="559">
        <f>+N28-N37</f>
        <v>-49.879996048086014</v>
      </c>
      <c r="P37" s="465" t="s">
        <v>36</v>
      </c>
      <c r="Q37" s="495">
        <v>0.23695397742274965</v>
      </c>
      <c r="R37" s="197"/>
      <c r="S37" s="495">
        <v>3.2335622794954002</v>
      </c>
      <c r="T37" s="197"/>
      <c r="U37" s="495">
        <v>3.4705162569181498</v>
      </c>
      <c r="V37" s="195"/>
      <c r="W37" s="465" t="s">
        <v>36</v>
      </c>
      <c r="X37" s="554">
        <v>236.95397742274966</v>
      </c>
      <c r="Y37" s="554">
        <v>0</v>
      </c>
      <c r="Z37" s="554">
        <v>3233.5622794954002</v>
      </c>
      <c r="AA37" s="554">
        <v>0</v>
      </c>
      <c r="AB37" s="554">
        <v>3470.5162569181498</v>
      </c>
      <c r="AC37" s="64">
        <f>+AB28-AB37</f>
        <v>-184.68106679506491</v>
      </c>
    </row>
    <row r="38" spans="9:29" x14ac:dyDescent="0.25">
      <c r="I38" s="464" t="s">
        <v>69</v>
      </c>
      <c r="J38" s="557">
        <v>8669.9768395191459</v>
      </c>
      <c r="K38" s="557">
        <v>3497.7573911697668</v>
      </c>
      <c r="L38" s="557">
        <v>178.54978420911488</v>
      </c>
      <c r="M38" s="557">
        <v>0</v>
      </c>
      <c r="N38" s="558">
        <v>12346.284014898029</v>
      </c>
      <c r="O38" s="559">
        <f t="shared" ref="O38:O42" si="3">+N29-N38</f>
        <v>3073.8093019976477</v>
      </c>
      <c r="P38" s="465" t="s">
        <v>69</v>
      </c>
      <c r="Q38" s="466">
        <v>31.299555377325436</v>
      </c>
      <c r="R38" s="466">
        <v>17.255833207546953</v>
      </c>
      <c r="S38" s="466">
        <v>0.66573372188335156</v>
      </c>
      <c r="T38" s="466">
        <v>0</v>
      </c>
      <c r="U38" s="495">
        <v>49.221122306755738</v>
      </c>
      <c r="V38" s="195"/>
      <c r="W38" s="465" t="s">
        <v>69</v>
      </c>
      <c r="X38" s="554">
        <v>31299.555377325436</v>
      </c>
      <c r="Y38" s="554">
        <v>17255.833207546952</v>
      </c>
      <c r="Z38" s="554">
        <v>665.73372188335156</v>
      </c>
      <c r="AA38" s="554">
        <v>0</v>
      </c>
      <c r="AB38" s="554">
        <v>49221.122306755737</v>
      </c>
      <c r="AC38" s="64">
        <f t="shared" ref="AC38:AC42" si="4">+AB29-AB38</f>
        <v>12586.160973904669</v>
      </c>
    </row>
    <row r="39" spans="9:29" x14ac:dyDescent="0.25">
      <c r="I39" s="464" t="s">
        <v>31</v>
      </c>
      <c r="J39" s="557">
        <v>4750.500192648793</v>
      </c>
      <c r="K39" s="557">
        <v>2801.8781788129263</v>
      </c>
      <c r="L39" s="557">
        <v>8923.5552107753174</v>
      </c>
      <c r="M39" s="557">
        <v>172.69705438593684</v>
      </c>
      <c r="N39" s="558">
        <v>16648.630636622973</v>
      </c>
      <c r="O39" s="559">
        <f t="shared" si="3"/>
        <v>4020.3266151134812</v>
      </c>
      <c r="P39" s="465" t="s">
        <v>31</v>
      </c>
      <c r="Q39" s="466">
        <v>17.149820190067842</v>
      </c>
      <c r="R39" s="466">
        <v>13.822783319254693</v>
      </c>
      <c r="S39" s="466">
        <v>33.272017937268153</v>
      </c>
      <c r="T39" s="466">
        <v>5.5174777759085245</v>
      </c>
      <c r="U39" s="495">
        <v>69.762099222499216</v>
      </c>
      <c r="V39" s="559"/>
      <c r="W39" s="465" t="s">
        <v>31</v>
      </c>
      <c r="X39" s="554">
        <v>17149.820190067843</v>
      </c>
      <c r="Y39" s="554">
        <v>13822.783319254693</v>
      </c>
      <c r="Z39" s="554">
        <v>33272.017937268152</v>
      </c>
      <c r="AA39" s="554">
        <v>5517.4777759085246</v>
      </c>
      <c r="AB39" s="554">
        <v>69762.099222499222</v>
      </c>
      <c r="AC39" s="64">
        <f t="shared" si="4"/>
        <v>14394.918442094218</v>
      </c>
    </row>
    <row r="40" spans="9:29" x14ac:dyDescent="0.25">
      <c r="I40" s="464" t="s">
        <v>38</v>
      </c>
      <c r="J40" s="557">
        <v>3113.2161778718441</v>
      </c>
      <c r="K40" s="557">
        <v>1386.9679249474896</v>
      </c>
      <c r="L40" s="557">
        <v>550.75684082965893</v>
      </c>
      <c r="M40" s="557">
        <v>0.23670033563844511</v>
      </c>
      <c r="N40" s="558">
        <v>5051.1776439846317</v>
      </c>
      <c r="O40" s="559">
        <f t="shared" si="3"/>
        <v>1277.7891466251212</v>
      </c>
      <c r="P40" s="465" t="s">
        <v>38</v>
      </c>
      <c r="Q40" s="466">
        <v>11.239047573544564</v>
      </c>
      <c r="R40" s="466">
        <v>6.842466329292006</v>
      </c>
      <c r="S40" s="466">
        <v>2.0535303535781466</v>
      </c>
      <c r="T40" s="466">
        <v>2.0059350477834331E-2</v>
      </c>
      <c r="U40" s="495">
        <v>20.155103606892549</v>
      </c>
      <c r="V40" s="195"/>
      <c r="W40" s="465" t="s">
        <v>38</v>
      </c>
      <c r="X40" s="554">
        <v>11239.047573544563</v>
      </c>
      <c r="Y40" s="554">
        <v>6842.4663292920059</v>
      </c>
      <c r="Z40" s="554">
        <v>2053.5303535781468</v>
      </c>
      <c r="AA40" s="554">
        <v>20.059350477834332</v>
      </c>
      <c r="AB40" s="554">
        <v>20155.10360689255</v>
      </c>
      <c r="AC40" s="64">
        <f t="shared" si="4"/>
        <v>5007.1823534789946</v>
      </c>
    </row>
    <row r="41" spans="9:29" x14ac:dyDescent="0.25">
      <c r="I41" s="464" t="s">
        <v>34</v>
      </c>
      <c r="J41" s="557">
        <v>352.76414244273849</v>
      </c>
      <c r="K41" s="557">
        <v>0</v>
      </c>
      <c r="L41" s="557">
        <v>10280.225973916793</v>
      </c>
      <c r="M41" s="557">
        <v>0</v>
      </c>
      <c r="N41" s="558">
        <v>10632.990116359531</v>
      </c>
      <c r="O41" s="559">
        <f t="shared" si="3"/>
        <v>270.29108511335653</v>
      </c>
      <c r="P41" s="465" t="s">
        <v>34</v>
      </c>
      <c r="Q41" s="466">
        <v>1.2735167597210775</v>
      </c>
      <c r="R41" s="197"/>
      <c r="S41" s="466">
        <v>38.330447330040244</v>
      </c>
      <c r="T41" s="197"/>
      <c r="U41" s="495">
        <v>39.60396408976132</v>
      </c>
      <c r="V41" s="195"/>
      <c r="W41" s="465" t="s">
        <v>34</v>
      </c>
      <c r="X41" s="554">
        <v>1273.5167597210775</v>
      </c>
      <c r="Y41" s="554">
        <v>0</v>
      </c>
      <c r="Z41" s="554">
        <v>38330.447330040246</v>
      </c>
      <c r="AA41" s="554">
        <v>0</v>
      </c>
      <c r="AB41" s="554">
        <v>39603.964089761321</v>
      </c>
      <c r="AC41" s="64">
        <f t="shared" si="4"/>
        <v>1012.8062671920707</v>
      </c>
    </row>
    <row r="42" spans="9:29" x14ac:dyDescent="0.25">
      <c r="I42" s="467" t="s">
        <v>58</v>
      </c>
      <c r="J42" s="560">
        <v>16952.093604228623</v>
      </c>
      <c r="K42" s="560">
        <v>7686.603494930182</v>
      </c>
      <c r="L42" s="560">
        <v>20800.329213091551</v>
      </c>
      <c r="M42" s="560">
        <v>172.93375472157527</v>
      </c>
      <c r="N42" s="560">
        <v>45611.960066971937</v>
      </c>
      <c r="O42" s="559">
        <f t="shared" si="3"/>
        <v>8592.336152801523</v>
      </c>
      <c r="P42" s="468" t="s">
        <v>58</v>
      </c>
      <c r="Q42" s="469">
        <v>61.198893878081677</v>
      </c>
      <c r="R42" s="469">
        <v>37.921082856093655</v>
      </c>
      <c r="S42" s="469">
        <v>77.555291622265287</v>
      </c>
      <c r="T42" s="469">
        <v>5.5375371263863586</v>
      </c>
      <c r="U42" s="469">
        <v>182.21280548282698</v>
      </c>
      <c r="V42" s="195"/>
      <c r="W42" s="468" t="s">
        <v>58</v>
      </c>
      <c r="X42" s="554">
        <v>61198.893878081675</v>
      </c>
      <c r="Y42" s="554">
        <v>37921.082856093657</v>
      </c>
      <c r="Z42" s="554">
        <v>77555.291622265286</v>
      </c>
      <c r="AA42" s="554">
        <v>5537.537126386359</v>
      </c>
      <c r="AB42" s="554">
        <v>182212.80548282698</v>
      </c>
      <c r="AC42" s="64">
        <f t="shared" si="4"/>
        <v>32816.386969874875</v>
      </c>
    </row>
    <row r="43" spans="9:29" x14ac:dyDescent="0.25">
      <c r="V43" s="195"/>
      <c r="W43" s="6" t="s">
        <v>58</v>
      </c>
      <c r="X43" s="6">
        <v>28401.358975644798</v>
      </c>
      <c r="Y43" s="6">
        <v>0</v>
      </c>
      <c r="Z43" s="6">
        <v>79802.906747529356</v>
      </c>
      <c r="AA43" s="6">
        <v>13329.129548896675</v>
      </c>
      <c r="AB43" s="6">
        <v>121533.39527207083</v>
      </c>
      <c r="AC43" s="195"/>
    </row>
  </sheetData>
  <mergeCells count="18">
    <mergeCell ref="A5:A11"/>
    <mergeCell ref="J35:N35"/>
    <mergeCell ref="Q35:U35"/>
    <mergeCell ref="J26:N26"/>
    <mergeCell ref="Q26:U26"/>
    <mergeCell ref="B13:F13"/>
    <mergeCell ref="G13:Q13"/>
    <mergeCell ref="R13:T13"/>
    <mergeCell ref="B14:C14"/>
    <mergeCell ref="D14:E14"/>
    <mergeCell ref="G14:I14"/>
    <mergeCell ref="J14:K14"/>
    <mergeCell ref="L14:N14"/>
    <mergeCell ref="R14:S14"/>
    <mergeCell ref="X26:AB26"/>
    <mergeCell ref="X35:AB35"/>
    <mergeCell ref="K2:L2"/>
    <mergeCell ref="K3:L3"/>
  </mergeCells>
  <dataValidations count="1">
    <dataValidation type="list" allowBlank="1" showInputMessage="1" showErrorMessage="1" sqref="I35">
      <formula1>$B$5:$B$9</formula1>
    </dataValidation>
  </dataValidations>
  <hyperlinks>
    <hyperlink ref="K2" location="'Synthèse CO2'!A1" display="vers Synthèse CO2"/>
    <hyperlink ref="K3:L3" location="CALENDRIER!A1" display="Lien vers CALENDRIER"/>
    <hyperlink ref="B15" location="'ADO-1'!A1" display="ADO-1"/>
    <hyperlink ref="B16" location="'ADO-2'!A1" display="ADO-2"/>
    <hyperlink ref="B17" location="'ADO-3'!A1" display="'ADO-3'!A1"/>
    <hyperlink ref="B18" location="'ADO-4'!A1" display="'ADO-4'!A1"/>
    <hyperlink ref="F15" location="'ADO-40'!A1" display="ADO-40"/>
    <hyperlink ref="F16" location="'ADO-41'!A1" display="ADO-41"/>
    <hyperlink ref="D15" location="'ADO-20'!A1" display="ADO-20"/>
    <hyperlink ref="B19" location="'ADO-5'!A1" display="ADO-5"/>
    <hyperlink ref="G15" location="'ADU-1'!A1" display="ADU-1"/>
    <hyperlink ref="G16" location="'ADU-2'!A1" display="'ADU-2'!A1"/>
    <hyperlink ref="G17" location="'ADU-3'!A1" display="ADU-3"/>
    <hyperlink ref="I15" location="'ADU-21'!A1" display="ADU-21"/>
    <hyperlink ref="B20:B21" location="'ADO-11'!A1" display="'ADO-11'!A1"/>
    <hyperlink ref="B20" location="'ADO-6'!A1" display="ADO-6"/>
    <hyperlink ref="R15" location="'ADA-1'!A1" display="ADA-1"/>
    <hyperlink ref="R16" location="'ADA-2'!A1" display="ADA-2"/>
    <hyperlink ref="R17" location="'ADA-3'!A1" display="ADA-3"/>
    <hyperlink ref="R18" location="'ADA-4'!A1" display="ADA-4"/>
    <hyperlink ref="R19" location="'ADA-5'!A1" display="ADA-5"/>
    <hyperlink ref="R20" location="'ADA-6'!A1" display="ADA-6"/>
    <hyperlink ref="R21" location="'ADA-7'!A1" display="ADA-7"/>
    <hyperlink ref="R22" location="'ADA-8'!A1" display="ADA-8"/>
    <hyperlink ref="R23" location="'ADA-9'!A1" display="ADA-9"/>
    <hyperlink ref="R24" location="'ADA-10'!A1" display="ADA-10"/>
    <hyperlink ref="S15" location="'ADA-11'!A1" display="ADA-11"/>
    <hyperlink ref="S16" location="'ADA-12'!A1" display="ADA-12"/>
    <hyperlink ref="S17" location="'ADA-13'!A1" display="ADA-13"/>
    <hyperlink ref="T15" location="'ADA-20'!A1" display="ADA-20"/>
    <hyperlink ref="D16:D23" location="'ADO-7'!A1" display="'ADO-7'!A1"/>
    <hyperlink ref="D16" location="'ADO-21'!A1" display="ADO-21"/>
    <hyperlink ref="D17" location="'ADO-22'!A1" display="ADO-22"/>
    <hyperlink ref="D18" location="'ADO-23'!A1" display="ADO-23"/>
    <hyperlink ref="D19" location="'ADO-24'!A1" display="ADO-24"/>
    <hyperlink ref="D20" location="'ADO-25'!A1" display="ADO-25"/>
    <hyperlink ref="D21" location="'ADO-26'!A1" display="ADO-26"/>
    <hyperlink ref="D22" location="'ADO-27'!A1" display="ADO-27"/>
    <hyperlink ref="D23" location="'ADO-28'!A1" display="ADO-28"/>
    <hyperlink ref="G18" location="'ADU-4'!A1" display="ADU-4"/>
    <hyperlink ref="G21" location="'ADU-7'!A1" display="ADU-7"/>
    <hyperlink ref="G24" location="'ADU-10'!A1" display="ADU-10"/>
    <hyperlink ref="G19" location="'ADU-5'!A1" display="ADU-5"/>
    <hyperlink ref="G22" location="'ADU-8'!A1" display="ADU-8"/>
    <hyperlink ref="G20" location="'ADU-6'!A1" display="ADU-6"/>
    <hyperlink ref="G23" location="'ADU-9'!A1" display="ADU-9"/>
    <hyperlink ref="H15" location="'ADU-11'!A1" display="ADU-11"/>
    <hyperlink ref="I16:I18" location="'ADU-21'!A1" display="'ADU-21'!A1"/>
    <hyperlink ref="T16:T18" location="'ADA-14'!A1" display="ADA-14"/>
    <hyperlink ref="H16" location="'ADU-12'!A1" display="ADU-12"/>
    <hyperlink ref="H17" location="'ADU-13'!A1" display="ADU-13"/>
    <hyperlink ref="H18" location="'ADU-14'!A1" display="ADU-14"/>
    <hyperlink ref="H19" location="'ADU-15'!A1" display="ADU-15"/>
    <hyperlink ref="H20" location="'ADU-16'!A1" display="ADU-16"/>
    <hyperlink ref="H21" location="'ADU-17'!A1" display="ADU-17"/>
    <hyperlink ref="H22" location="'ADU-18'!A1" display="ADU-18"/>
    <hyperlink ref="H23" location="'ADU-19'!A1" display="ADU-19"/>
    <hyperlink ref="H24" location="'ADU-20'!A1" display="ADU-20"/>
    <hyperlink ref="I16" location="'ADU-22'!A1" display="ADU-22"/>
    <hyperlink ref="I17" location="'ADU-23'!A1" display="ADU-23"/>
    <hyperlink ref="I18" location="'ADU-24'!A1" display="ADU-24"/>
    <hyperlink ref="J15" location="'ADU-50'!A1" display="ADU-50"/>
    <hyperlink ref="J16" location="'ADU-51'!A1" display="ADU-51"/>
    <hyperlink ref="J17" location="'ADU-52'!A1" display="ADU-52"/>
    <hyperlink ref="J18" location="'ADU-53'!A1" display="ADU-53"/>
    <hyperlink ref="J19" location="'ADU-54'!A1" display="ADU-54"/>
    <hyperlink ref="J20" location="'ADU-55'!A1" display="ADU-55"/>
    <hyperlink ref="J21" location="'ADU-56'!A1" display="ADU-56"/>
    <hyperlink ref="L15" location="'ADU-70'!A1" display="ADU-70"/>
    <hyperlink ref="L16" location="'ADU-71'!A1" display="ADU-71"/>
    <hyperlink ref="L17" location="'ADU-72'!A1" display="ADU-72"/>
    <hyperlink ref="L18" location="'ADU-73'!A1" display="ADU-73"/>
    <hyperlink ref="L19" location="'ADU-74'!A1" display="ADU-74"/>
    <hyperlink ref="L20" location="'ADU-75'!A1" display="ADU-75"/>
    <hyperlink ref="L21" location="'ADU-76'!A1" display="ADU-76"/>
    <hyperlink ref="O15" location="'ADU-100'!A1" display="ADU-100"/>
    <hyperlink ref="M15" location="'ADU-80'!A1" display="ADU-80"/>
    <hyperlink ref="M16" location="'ADU-81'!A1" display="ADU-81"/>
    <hyperlink ref="M17" location="'ADU-82'!A1" display="ADU-82"/>
    <hyperlink ref="N15" location="'ADU-90'!A1" display="ADU-90"/>
    <hyperlink ref="N16" location="'ADU-91'!A1" display="ADU-91"/>
    <hyperlink ref="N17" location="'ADU-92'!A1" display="ADU-92"/>
    <hyperlink ref="O16" location="'ADU-101'!A1" display="ADU-101"/>
    <hyperlink ref="O17" location="'ADU-102'!A1" display="ADU-102"/>
    <hyperlink ref="N18" location="'ADU-93'!A1" display="ADU-93"/>
    <hyperlink ref="P16" location="'ADU-121'!A1" display="ADU-121"/>
    <hyperlink ref="P17" location="'ADU-122'!A1" display="ADU-122"/>
    <hyperlink ref="P18" location="'ADU-123'!A1" display="ADU-123"/>
    <hyperlink ref="P19" location="'ADU-124'!A1" display="ADU-124"/>
    <hyperlink ref="Q15" location="'ADU-140'!A1" display="ADU-140"/>
    <hyperlink ref="T16" location="'ADA-21'!A1" display="ADA-21"/>
    <hyperlink ref="T17" location="'ADA-22'!A1" display="ADA-22"/>
    <hyperlink ref="T18" location="'ADA-23'!A1" display="ADA-23"/>
    <hyperlink ref="I20" location="'ADU-30'!A1" display="ADU-30"/>
    <hyperlink ref="I21" location="'ADU-31'!A1" display="ADU-31"/>
    <hyperlink ref="I22" location="'ADU-32'!A1" display="ADU-32"/>
    <hyperlink ref="I23" location="'ADU-33'!A1" display="ADU-33"/>
    <hyperlink ref="M18" location="'ADU-83'!A1" display="ADU-83"/>
    <hyperlink ref="L22" location="'ADU-77'!A1" display="ADU-77"/>
    <hyperlink ref="B21" location="'ADO-7'!A1" display="ADO-7"/>
    <hyperlink ref="B22" location="'ADO-8'!A1" display="ADO-8"/>
    <hyperlink ref="B23" location="'ADO-9'!A1" display="ADO-9"/>
    <hyperlink ref="D24" location="'ADO-29'!A1" display="ADO-29"/>
    <hyperlink ref="E15" location="'ADO-30'!A1" display="ADO-30"/>
    <hyperlink ref="E16" location="'ADO-31'!A1" display="ADO-31"/>
    <hyperlink ref="E17" location="'ADO-32'!A1" display="ADO-32"/>
    <hyperlink ref="E18" location="'ADO-33'!A1" display="ADO-33"/>
    <hyperlink ref="O18" location="'ADU-103'!A1" display="ADU-103"/>
    <hyperlink ref="I19" location="'ADU-25'!A1" display="ADU-25"/>
    <hyperlink ref="N19" location="'ADU-94'!A1" display="ADU-94"/>
    <hyperlink ref="N20" location="'ADU-95'!A1" display="ADU-95"/>
    <hyperlink ref="K15" location="'ADU-60'!A1" display="ADU-60"/>
    <hyperlink ref="J24" location="'ADU-59'!A1" display="ADU-59"/>
    <hyperlink ref="J23" location="'ADU-58'!A1" display="ADU-58"/>
    <hyperlink ref="J22" location="'ADU-57'!A1" display="ADU-57"/>
    <hyperlink ref="B24" location="'ADO-10'!A1" display="ADO-10"/>
    <hyperlink ref="C15" location="'ADO-11'!A1" display="ADO-11"/>
    <hyperlink ref="E19" location="'ADO-34'!A1" display="ADO-34"/>
    <hyperlink ref="E20" location="'ADO-35'!A1" display="ADO-35"/>
    <hyperlink ref="K16" location="'ADU-61'!A1" display="ADU-61"/>
  </hyperlinks>
  <pageMargins left="0.70866141732283472" right="0.70866141732283472" top="0.74803149606299213" bottom="0.74803149606299213" header="0.31496062992125984" footer="0.31496062992125984"/>
  <pageSetup paperSize="9" scale="8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C10" zoomScale="145" zoomScaleNormal="145" workbookViewId="0">
      <selection sqref="A1:E1"/>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276"/>
      <c r="G1" s="7"/>
      <c r="H1" s="7"/>
    </row>
    <row r="2" spans="1:28" ht="19.5" customHeight="1" x14ac:dyDescent="0.25">
      <c r="A2" s="412" t="s">
        <v>750</v>
      </c>
      <c r="B2" s="1002" t="s">
        <v>777</v>
      </c>
      <c r="C2" s="1002"/>
      <c r="D2" s="1002"/>
      <c r="E2" s="1002"/>
      <c r="F2" s="7"/>
      <c r="G2" s="986" t="s">
        <v>751</v>
      </c>
      <c r="H2" s="986"/>
    </row>
    <row r="3" spans="1:28" ht="19.5" customHeight="1" x14ac:dyDescent="0.25">
      <c r="A3" s="409" t="s">
        <v>743</v>
      </c>
      <c r="B3" s="987" t="s">
        <v>434</v>
      </c>
      <c r="C3" s="987"/>
      <c r="D3" s="987"/>
      <c r="E3" s="987"/>
      <c r="F3" s="7"/>
      <c r="G3" s="986" t="s">
        <v>752</v>
      </c>
      <c r="H3" s="986"/>
    </row>
    <row r="4" spans="1:28" ht="19.5" customHeight="1" x14ac:dyDescent="0.25">
      <c r="A4" s="403" t="s">
        <v>292</v>
      </c>
      <c r="B4" s="996" t="s">
        <v>37</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193" t="s">
        <v>1</v>
      </c>
      <c r="B8" s="967" t="s">
        <v>76</v>
      </c>
      <c r="C8" s="967"/>
      <c r="D8" s="967"/>
      <c r="E8" s="967"/>
      <c r="G8" s="997" t="s">
        <v>936</v>
      </c>
      <c r="Z8" s="1028" t="s">
        <v>611</v>
      </c>
      <c r="AA8" s="1029"/>
      <c r="AB8" s="357">
        <v>0.26819999999999999</v>
      </c>
    </row>
    <row r="9" spans="1:28" ht="24" customHeight="1" x14ac:dyDescent="0.25">
      <c r="A9" s="193" t="s">
        <v>0</v>
      </c>
      <c r="B9" s="967" t="s">
        <v>77</v>
      </c>
      <c r="C9" s="967"/>
      <c r="D9" s="967"/>
      <c r="E9" s="967"/>
      <c r="G9" s="997"/>
      <c r="Z9" s="1028" t="s">
        <v>612</v>
      </c>
      <c r="AA9" s="1029"/>
      <c r="AB9" s="357">
        <v>3.1300000000000001E-2</v>
      </c>
    </row>
    <row r="10" spans="1:28" ht="66.75" customHeight="1" x14ac:dyDescent="0.25">
      <c r="A10" s="193" t="s">
        <v>2</v>
      </c>
      <c r="B10" s="1034" t="s">
        <v>484</v>
      </c>
      <c r="C10" s="1034"/>
      <c r="D10" s="1034"/>
      <c r="E10" s="1034"/>
      <c r="G10" s="997"/>
      <c r="H10" s="7"/>
      <c r="Z10" s="1028"/>
      <c r="AA10" s="1029"/>
      <c r="AB10" s="357"/>
    </row>
    <row r="11" spans="1:28" ht="54" customHeight="1" x14ac:dyDescent="0.25">
      <c r="A11" s="193" t="s">
        <v>29</v>
      </c>
      <c r="B11" s="1035"/>
      <c r="C11" s="1035"/>
      <c r="D11" s="1035"/>
      <c r="E11" s="1035"/>
      <c r="G11" s="254">
        <v>25000</v>
      </c>
      <c r="H11" s="225" t="s">
        <v>25</v>
      </c>
      <c r="Z11" s="1028" t="s">
        <v>613</v>
      </c>
      <c r="AA11" s="1029"/>
      <c r="AB11" s="357">
        <v>0.26819999999999999</v>
      </c>
    </row>
    <row r="12" spans="1:28" ht="30" customHeight="1" x14ac:dyDescent="0.25">
      <c r="A12" s="193" t="s">
        <v>14</v>
      </c>
      <c r="B12" s="1010" t="s">
        <v>939</v>
      </c>
      <c r="C12" s="1010"/>
      <c r="D12" s="1010"/>
      <c r="E12" s="1010"/>
      <c r="G12" s="225"/>
      <c r="H12" s="225" t="s">
        <v>7</v>
      </c>
      <c r="Z12" s="1028" t="s">
        <v>614</v>
      </c>
      <c r="AA12" s="1029"/>
      <c r="AB12" s="357">
        <v>1.18E-2</v>
      </c>
    </row>
    <row r="13" spans="1:28" ht="30" customHeight="1" x14ac:dyDescent="0.25">
      <c r="A13" s="193" t="s">
        <v>3</v>
      </c>
      <c r="B13" s="1011" t="s">
        <v>943</v>
      </c>
      <c r="C13" s="1011"/>
      <c r="D13" s="1011"/>
      <c r="E13" s="1011"/>
      <c r="Z13" s="1028" t="s">
        <v>615</v>
      </c>
      <c r="AA13" s="1029"/>
      <c r="AB13" s="358">
        <v>0.36854545454545451</v>
      </c>
    </row>
    <row r="14" spans="1:28" ht="30" customHeight="1" x14ac:dyDescent="0.25">
      <c r="A14" s="193" t="s">
        <v>15</v>
      </c>
      <c r="B14" s="1010"/>
      <c r="C14" s="1010"/>
      <c r="D14" s="1010"/>
      <c r="E14" s="1010"/>
      <c r="Z14" s="1028" t="s">
        <v>616</v>
      </c>
      <c r="AA14" s="1029"/>
      <c r="AB14" s="357">
        <v>0.26819999999999999</v>
      </c>
    </row>
    <row r="15" spans="1:28" ht="30" customHeight="1" x14ac:dyDescent="0.25">
      <c r="A15" s="193" t="s">
        <v>4</v>
      </c>
      <c r="B15" s="1010">
        <v>2017</v>
      </c>
      <c r="C15" s="1010"/>
      <c r="D15" s="1010"/>
      <c r="E15" s="1010"/>
      <c r="F15" s="33"/>
      <c r="Z15" s="1028" t="s">
        <v>578</v>
      </c>
      <c r="AA15" s="1029"/>
      <c r="AB15" s="357">
        <v>0.27700000000000002</v>
      </c>
    </row>
    <row r="16" spans="1:28" ht="30" customHeight="1" x14ac:dyDescent="0.25">
      <c r="A16" s="193" t="s">
        <v>5</v>
      </c>
      <c r="B16" s="1010">
        <v>2030</v>
      </c>
      <c r="C16" s="1010"/>
      <c r="D16" s="1010"/>
      <c r="E16" s="1010"/>
      <c r="F16" s="33"/>
      <c r="Z16" s="1028" t="s">
        <v>579</v>
      </c>
      <c r="AA16" s="1029"/>
      <c r="AB16" s="357">
        <v>0.20269999999999999</v>
      </c>
    </row>
    <row r="17" spans="1:9" ht="30" customHeight="1" x14ac:dyDescent="0.25">
      <c r="A17" s="193" t="s">
        <v>6</v>
      </c>
      <c r="B17" s="1000">
        <f>SUM(G11:L11)</f>
        <v>25000</v>
      </c>
      <c r="C17" s="1000"/>
      <c r="D17" s="1000"/>
      <c r="E17" s="1000"/>
      <c r="F17" s="34"/>
    </row>
    <row r="18" spans="1:9" ht="30" customHeight="1" x14ac:dyDescent="0.25">
      <c r="A18" s="193" t="s">
        <v>7</v>
      </c>
      <c r="B18" s="1000">
        <f>SUM(G12:L12)</f>
        <v>0</v>
      </c>
      <c r="C18" s="1000"/>
      <c r="D18" s="1000"/>
      <c r="E18" s="1000"/>
      <c r="F18" s="35"/>
    </row>
    <row r="19" spans="1:9" ht="30" customHeight="1" x14ac:dyDescent="0.25">
      <c r="A19" s="99" t="s">
        <v>307</v>
      </c>
      <c r="B19" s="1039"/>
      <c r="C19" s="1040"/>
      <c r="D19" s="1040"/>
      <c r="E19" s="1040"/>
      <c r="F19" s="33"/>
      <c r="G19" s="6">
        <v>31.5</v>
      </c>
      <c r="H19" s="2"/>
    </row>
    <row r="20" spans="1:9" ht="30" customHeight="1" x14ac:dyDescent="0.25">
      <c r="A20" s="96" t="s">
        <v>306</v>
      </c>
      <c r="B20" s="1043"/>
      <c r="C20" s="1043"/>
      <c r="D20" s="1043"/>
      <c r="E20" s="1043"/>
      <c r="F20" s="36"/>
      <c r="G20" s="6">
        <v>0.86</v>
      </c>
      <c r="H20" s="2"/>
    </row>
    <row r="21" spans="1:9" ht="30" customHeight="1" x14ac:dyDescent="0.25">
      <c r="A21" s="193" t="s">
        <v>8</v>
      </c>
      <c r="B21" s="1000">
        <v>1</v>
      </c>
      <c r="C21" s="1000"/>
      <c r="D21" s="1000"/>
      <c r="E21" s="1000"/>
      <c r="F21" s="33"/>
    </row>
    <row r="22" spans="1:9" ht="30" customHeight="1" x14ac:dyDescent="0.25">
      <c r="A22" s="193" t="s">
        <v>9</v>
      </c>
      <c r="B22" s="1000"/>
      <c r="C22" s="1000"/>
      <c r="D22" s="1000"/>
      <c r="E22" s="1000"/>
      <c r="F22" s="37"/>
    </row>
    <row r="23" spans="1:9" ht="30" customHeight="1" x14ac:dyDescent="0.25">
      <c r="A23" s="193" t="s">
        <v>301</v>
      </c>
      <c r="B23" s="1016">
        <f>B17/(B21+B22)</f>
        <v>25000</v>
      </c>
      <c r="C23" s="1016"/>
      <c r="D23" s="1016"/>
      <c r="E23" s="1016"/>
      <c r="F23" s="37"/>
    </row>
    <row r="24" spans="1:9" ht="30" customHeight="1" x14ac:dyDescent="0.25">
      <c r="A24" s="193" t="s">
        <v>302</v>
      </c>
      <c r="B24" s="1017">
        <f>(B17-B18)/(B21+B22)</f>
        <v>25000</v>
      </c>
      <c r="C24" s="1017"/>
      <c r="D24" s="1017"/>
      <c r="E24" s="1017"/>
      <c r="F24" s="38"/>
      <c r="G24" s="6">
        <v>0.26100000000000001</v>
      </c>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6"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ht="23.25" customHeight="1" x14ac:dyDescent="0.25">
      <c r="G46" s="1022" t="s">
        <v>965</v>
      </c>
      <c r="H46" s="1022"/>
      <c r="I46" s="1022"/>
      <c r="J46" s="1022"/>
      <c r="K46" s="1022"/>
      <c r="L46" s="1022"/>
    </row>
    <row r="47" spans="1:12" ht="23.25" customHeight="1" x14ac:dyDescent="0.25">
      <c r="A47" s="959" t="s">
        <v>966</v>
      </c>
      <c r="B47" s="1022"/>
      <c r="C47" s="1022"/>
      <c r="D47" s="1022"/>
      <c r="E47" s="1022"/>
      <c r="F47" s="1022"/>
      <c r="G47" s="1022"/>
      <c r="H47" s="1022"/>
      <c r="I47" s="1022"/>
      <c r="J47" s="1022"/>
      <c r="K47" s="1022"/>
      <c r="L47" s="1022"/>
    </row>
    <row r="48" spans="1:12" ht="23.25" customHeight="1" x14ac:dyDescent="0.25">
      <c r="A48" s="959"/>
      <c r="B48" s="1022"/>
      <c r="C48" s="1022"/>
      <c r="D48" s="1022"/>
      <c r="E48" s="1022"/>
      <c r="F48" s="1022"/>
      <c r="G48" s="1022"/>
      <c r="H48" s="1022"/>
      <c r="I48" s="1022"/>
      <c r="J48" s="1022"/>
      <c r="K48" s="1022"/>
      <c r="L48" s="1022"/>
    </row>
    <row r="49" spans="1:12" ht="23.25" customHeight="1" x14ac:dyDescent="0.25">
      <c r="A49" s="959"/>
      <c r="B49" s="1022"/>
      <c r="C49" s="1022"/>
      <c r="D49" s="1022"/>
      <c r="E49" s="1022"/>
      <c r="F49" s="1022"/>
      <c r="G49" s="1022"/>
      <c r="H49" s="1022"/>
      <c r="I49" s="1022"/>
      <c r="J49" s="1022"/>
      <c r="K49" s="1022"/>
      <c r="L49" s="1022"/>
    </row>
    <row r="50" spans="1:12" ht="23.25" customHeight="1" x14ac:dyDescent="0.25">
      <c r="A50" s="959"/>
      <c r="B50" s="1022"/>
      <c r="C50" s="1022"/>
      <c r="D50" s="1022"/>
      <c r="E50" s="1022"/>
      <c r="F50" s="1022"/>
      <c r="G50" s="1022"/>
      <c r="H50" s="1022"/>
      <c r="I50" s="1022"/>
      <c r="J50" s="1022"/>
      <c r="K50" s="1022"/>
      <c r="L50" s="1022"/>
    </row>
    <row r="51" spans="1:12" ht="23.25" customHeight="1" x14ac:dyDescent="0.25">
      <c r="A51" s="959"/>
      <c r="B51" s="1022"/>
      <c r="C51" s="1022"/>
      <c r="D51" s="1022"/>
      <c r="E51" s="1022"/>
      <c r="F51" s="1022"/>
      <c r="G51" s="1022"/>
      <c r="H51" s="1022"/>
      <c r="I51" s="1022"/>
      <c r="J51" s="1022"/>
      <c r="K51" s="1022"/>
      <c r="L51" s="1022"/>
    </row>
    <row r="52" spans="1:12" ht="23.25" customHeight="1" x14ac:dyDescent="0.25">
      <c r="A52" s="959" t="s">
        <v>967</v>
      </c>
      <c r="B52" s="1022" t="s">
        <v>983</v>
      </c>
      <c r="C52" s="1022"/>
      <c r="D52" s="1022"/>
      <c r="E52" s="1022"/>
      <c r="F52" s="1022"/>
      <c r="G52" s="1022"/>
      <c r="H52" s="1022"/>
      <c r="I52" s="1022"/>
      <c r="J52" s="1022"/>
      <c r="K52" s="1022"/>
      <c r="L52" s="1022"/>
    </row>
    <row r="53" spans="1:12" ht="23.25" customHeight="1" x14ac:dyDescent="0.25">
      <c r="A53" s="959"/>
      <c r="B53" s="1022" t="s">
        <v>984</v>
      </c>
      <c r="C53" s="1022"/>
      <c r="D53" s="1022"/>
      <c r="E53" s="1022"/>
      <c r="F53" s="1022"/>
      <c r="G53" s="1022"/>
      <c r="H53" s="1022"/>
      <c r="I53" s="1022"/>
      <c r="J53" s="1022"/>
      <c r="K53" s="1022"/>
      <c r="L53" s="1022"/>
    </row>
    <row r="54" spans="1:12" ht="23.25" customHeight="1" x14ac:dyDescent="0.25">
      <c r="A54" s="959"/>
      <c r="B54" s="1022"/>
      <c r="C54" s="1022"/>
      <c r="D54" s="1022"/>
      <c r="E54" s="1022"/>
      <c r="F54" s="1022"/>
      <c r="G54" s="1022"/>
      <c r="H54" s="1022"/>
      <c r="I54" s="1022"/>
      <c r="J54" s="1022"/>
      <c r="K54" s="1022"/>
      <c r="L54" s="1022"/>
    </row>
    <row r="55" spans="1:12" ht="23.25" customHeight="1" x14ac:dyDescent="0.25">
      <c r="A55" s="959"/>
      <c r="B55" s="1022"/>
      <c r="C55" s="1022"/>
      <c r="D55" s="1022"/>
      <c r="E55" s="1022"/>
      <c r="F55" s="1022"/>
      <c r="G55" s="1022"/>
      <c r="H55" s="1022"/>
      <c r="I55" s="1022"/>
      <c r="J55" s="1022"/>
      <c r="K55" s="1022"/>
      <c r="L55" s="1022"/>
    </row>
    <row r="56" spans="1:12" ht="23.25" customHeight="1" x14ac:dyDescent="0.25">
      <c r="A56" s="959"/>
      <c r="B56" s="1022"/>
      <c r="C56" s="1022"/>
      <c r="D56" s="1022"/>
      <c r="E56" s="1022"/>
      <c r="F56" s="1022"/>
      <c r="G56" s="1022"/>
      <c r="H56" s="1022"/>
      <c r="I56" s="1022"/>
      <c r="J56" s="1022"/>
      <c r="K56" s="1022"/>
      <c r="L56" s="1022"/>
    </row>
    <row r="57" spans="1:12" ht="23.25" customHeight="1" x14ac:dyDescent="0.25">
      <c r="A57" s="959"/>
      <c r="B57" s="1022"/>
      <c r="C57" s="1022"/>
      <c r="D57" s="1022"/>
      <c r="E57" s="1022"/>
      <c r="F57" s="1022"/>
      <c r="G57" s="1022"/>
      <c r="H57" s="1022"/>
      <c r="I57" s="1022"/>
      <c r="J57" s="1022"/>
      <c r="K57" s="1022"/>
      <c r="L57" s="1022"/>
    </row>
    <row r="58" spans="1:12" ht="23.25" customHeight="1" x14ac:dyDescent="0.25">
      <c r="A58" s="959"/>
      <c r="B58" s="1022"/>
      <c r="C58" s="1022"/>
      <c r="D58" s="1022"/>
      <c r="E58" s="1022"/>
      <c r="F58" s="1022"/>
      <c r="G58" s="1022"/>
      <c r="H58" s="1022"/>
      <c r="I58" s="1022"/>
      <c r="J58" s="1022"/>
      <c r="K58" s="1022"/>
      <c r="L58" s="1022"/>
    </row>
    <row r="59" spans="1:12" ht="23.25" customHeight="1" x14ac:dyDescent="0.25">
      <c r="A59" s="959"/>
      <c r="B59" s="1022"/>
      <c r="C59" s="1022"/>
      <c r="D59" s="1022"/>
      <c r="E59" s="1022"/>
      <c r="F59" s="1022"/>
      <c r="G59" s="1022"/>
      <c r="H59" s="1022"/>
      <c r="I59" s="1022"/>
      <c r="J59" s="1022"/>
      <c r="K59" s="1022"/>
      <c r="L59" s="1022"/>
    </row>
    <row r="60" spans="1:12" ht="23.25" customHeight="1" x14ac:dyDescent="0.25">
      <c r="A60" s="959"/>
      <c r="B60" s="1022"/>
      <c r="C60" s="1022"/>
      <c r="D60" s="1022"/>
      <c r="E60" s="1022"/>
      <c r="F60" s="1022"/>
      <c r="G60" s="1022"/>
      <c r="H60" s="1022"/>
      <c r="I60" s="1022"/>
      <c r="J60" s="1022"/>
      <c r="K60" s="1022"/>
      <c r="L60" s="1022"/>
    </row>
    <row r="61" spans="1:12" ht="23.25" customHeight="1" x14ac:dyDescent="0.25">
      <c r="A61" s="959"/>
      <c r="B61" s="1022"/>
      <c r="C61" s="1022"/>
      <c r="D61" s="1022"/>
      <c r="E61" s="1022"/>
      <c r="F61" s="1022"/>
      <c r="G61" s="1022"/>
      <c r="H61" s="1022"/>
      <c r="I61" s="1022"/>
      <c r="J61" s="1022"/>
      <c r="K61" s="1022"/>
      <c r="L61" s="1022"/>
    </row>
    <row r="62" spans="1:12" ht="23.25" customHeight="1" x14ac:dyDescent="0.25">
      <c r="A62" s="959"/>
      <c r="B62" s="1022"/>
      <c r="C62" s="1022"/>
      <c r="D62" s="1022"/>
      <c r="E62" s="1022"/>
      <c r="F62" s="1022"/>
      <c r="G62" s="1022"/>
      <c r="H62" s="1022"/>
      <c r="I62" s="1022"/>
      <c r="J62" s="1022"/>
      <c r="K62" s="1022"/>
      <c r="L62" s="1022"/>
    </row>
    <row r="63" spans="1:12" ht="23.25" customHeight="1" x14ac:dyDescent="0.25">
      <c r="A63" s="959" t="s">
        <v>968</v>
      </c>
      <c r="B63" s="1022"/>
      <c r="C63" s="1022"/>
      <c r="D63" s="1022"/>
      <c r="E63" s="1022"/>
      <c r="F63" s="1022"/>
      <c r="G63" s="1022"/>
      <c r="H63" s="1022"/>
      <c r="I63" s="1022"/>
      <c r="J63" s="1022"/>
      <c r="K63" s="1022"/>
      <c r="L63" s="1022"/>
    </row>
    <row r="64" spans="1:12" ht="23.25" customHeight="1" x14ac:dyDescent="0.25">
      <c r="A64" s="959"/>
      <c r="B64" s="1022"/>
      <c r="C64" s="1022"/>
      <c r="D64" s="1022"/>
      <c r="E64" s="1022"/>
      <c r="F64" s="1022"/>
      <c r="G64" s="1022"/>
      <c r="H64" s="1022"/>
      <c r="I64" s="1022"/>
      <c r="J64" s="1022"/>
      <c r="K64" s="1022"/>
      <c r="L64" s="1022"/>
    </row>
    <row r="65" spans="1:12" ht="23.25" customHeight="1" x14ac:dyDescent="0.25">
      <c r="A65" s="959"/>
      <c r="B65" s="1022"/>
      <c r="C65" s="1022"/>
      <c r="D65" s="1022"/>
      <c r="E65" s="1022"/>
      <c r="F65" s="1022"/>
      <c r="G65" s="1022"/>
      <c r="H65" s="1022"/>
      <c r="I65" s="1022"/>
      <c r="J65" s="1022"/>
      <c r="K65" s="1022"/>
      <c r="L65" s="1022"/>
    </row>
    <row r="66" spans="1:12" ht="23.25" customHeight="1" x14ac:dyDescent="0.25">
      <c r="A66" s="959"/>
      <c r="B66" s="1022"/>
      <c r="C66" s="1022"/>
      <c r="D66" s="1022"/>
      <c r="E66" s="1022"/>
      <c r="F66" s="1022"/>
      <c r="G66" s="1022"/>
      <c r="H66" s="1022"/>
      <c r="I66" s="1022"/>
      <c r="J66" s="1022"/>
      <c r="K66" s="1022"/>
      <c r="L66" s="1022"/>
    </row>
    <row r="67" spans="1:12" ht="23.25" customHeight="1" x14ac:dyDescent="0.25">
      <c r="A67" s="959"/>
      <c r="B67" s="1022"/>
      <c r="C67" s="1022"/>
      <c r="D67" s="1022"/>
      <c r="E67" s="1022"/>
      <c r="F67" s="1022"/>
      <c r="G67" s="1022"/>
      <c r="H67" s="1022"/>
      <c r="I67" s="1022"/>
      <c r="J67" s="1022"/>
      <c r="K67" s="1022"/>
      <c r="L67" s="1022"/>
    </row>
    <row r="68" spans="1:12" ht="23.25" customHeight="1" x14ac:dyDescent="0.25">
      <c r="A68" s="959"/>
      <c r="B68" s="1022"/>
      <c r="C68" s="1022"/>
      <c r="D68" s="1022"/>
      <c r="E68" s="1022"/>
      <c r="F68" s="1022"/>
      <c r="G68" s="1022"/>
      <c r="H68" s="1022"/>
      <c r="I68" s="1022"/>
      <c r="J68" s="1022"/>
      <c r="K68" s="1022"/>
      <c r="L68" s="1022"/>
    </row>
    <row r="69" spans="1:12" ht="23.25" customHeight="1"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B14:E14"/>
    <mergeCell ref="B15:E15"/>
    <mergeCell ref="B16:E16"/>
    <mergeCell ref="B17:E17"/>
    <mergeCell ref="G46:L46"/>
    <mergeCell ref="B35:D35"/>
    <mergeCell ref="H35:I35"/>
    <mergeCell ref="B36:D36"/>
    <mergeCell ref="B42:D42"/>
    <mergeCell ref="B44:D44"/>
    <mergeCell ref="B37:D37"/>
    <mergeCell ref="B38:D38"/>
    <mergeCell ref="B39:D39"/>
    <mergeCell ref="B40:D40"/>
    <mergeCell ref="B41:D41"/>
    <mergeCell ref="B33:D33"/>
    <mergeCell ref="H33:I33"/>
    <mergeCell ref="G40:I40"/>
    <mergeCell ref="B34:D34"/>
    <mergeCell ref="H34:I34"/>
    <mergeCell ref="G8:G10"/>
    <mergeCell ref="B8:E8"/>
    <mergeCell ref="B9:E9"/>
    <mergeCell ref="B10:E10"/>
    <mergeCell ref="Z5:AB5"/>
    <mergeCell ref="Z6:AA6"/>
    <mergeCell ref="Z8:AA8"/>
    <mergeCell ref="Z9:AA9"/>
    <mergeCell ref="Z10:AA10"/>
    <mergeCell ref="G7:H7"/>
    <mergeCell ref="B7:E7"/>
    <mergeCell ref="Z16:AA16"/>
    <mergeCell ref="Z11:AA11"/>
    <mergeCell ref="Z12:AA12"/>
    <mergeCell ref="Z13:AA13"/>
    <mergeCell ref="Z14:AA14"/>
    <mergeCell ref="Z15:AA15"/>
    <mergeCell ref="B31:D31"/>
    <mergeCell ref="B32:D32"/>
    <mergeCell ref="G32:I32"/>
    <mergeCell ref="B29:E29"/>
    <mergeCell ref="B22:E22"/>
    <mergeCell ref="B20:E20"/>
    <mergeCell ref="B28:E28"/>
    <mergeCell ref="B11:E11"/>
    <mergeCell ref="B25:E25"/>
    <mergeCell ref="B26:E26"/>
    <mergeCell ref="B27:E27"/>
    <mergeCell ref="B23:E23"/>
    <mergeCell ref="B24:E24"/>
    <mergeCell ref="B12:E12"/>
    <mergeCell ref="B18:E18"/>
    <mergeCell ref="B19:E19"/>
    <mergeCell ref="B21:E21"/>
    <mergeCell ref="B13:E13"/>
    <mergeCell ref="A1:E1"/>
    <mergeCell ref="B2:E2"/>
    <mergeCell ref="G2:H2"/>
    <mergeCell ref="B3:E3"/>
    <mergeCell ref="G3:H3"/>
    <mergeCell ref="G6:H6"/>
    <mergeCell ref="G4:H4"/>
    <mergeCell ref="G5:H5"/>
    <mergeCell ref="B4:E4"/>
    <mergeCell ref="B5:E5"/>
    <mergeCell ref="B6:E6"/>
  </mergeCells>
  <conditionalFormatting sqref="B5">
    <cfRule type="containsText" dxfId="320" priority="1" operator="containsText" text="Terminé">
      <formula>NOT(ISERROR(SEARCH("Terminé",B5)))</formula>
    </cfRule>
    <cfRule type="containsText" dxfId="319" priority="2" operator="containsText" text="En cours">
      <formula>NOT(ISERROR(SEARCH("En cours",B5)))</formula>
    </cfRule>
    <cfRule type="containsText" dxfId="31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C16" zoomScale="115" zoomScaleNormal="115" workbookViewId="0">
      <selection sqref="A1:E1"/>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778</v>
      </c>
      <c r="C2" s="1002"/>
      <c r="D2" s="1002"/>
      <c r="E2" s="1002"/>
      <c r="F2" s="7"/>
      <c r="G2" s="986" t="s">
        <v>751</v>
      </c>
      <c r="H2" s="986"/>
    </row>
    <row r="3" spans="1:28" ht="19.5" customHeight="1" x14ac:dyDescent="0.25">
      <c r="A3" s="409" t="s">
        <v>743</v>
      </c>
      <c r="B3" s="987" t="s">
        <v>434</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400"/>
      <c r="J7" s="400"/>
      <c r="Z7" s="401"/>
      <c r="AA7" s="402"/>
      <c r="AB7" s="357"/>
    </row>
    <row r="8" spans="1:28" ht="24" customHeight="1" x14ac:dyDescent="0.25">
      <c r="A8" s="98" t="s">
        <v>1</v>
      </c>
      <c r="B8" s="967" t="s">
        <v>862</v>
      </c>
      <c r="C8" s="967"/>
      <c r="D8" s="967"/>
      <c r="E8" s="967"/>
      <c r="G8" s="997" t="s">
        <v>936</v>
      </c>
      <c r="Z8" s="1028" t="s">
        <v>611</v>
      </c>
      <c r="AA8" s="1029"/>
      <c r="AB8" s="357">
        <v>0.26819999999999999</v>
      </c>
    </row>
    <row r="9" spans="1:28" ht="24" customHeight="1" x14ac:dyDescent="0.25">
      <c r="A9" s="98" t="s">
        <v>0</v>
      </c>
      <c r="B9" s="996" t="s">
        <v>864</v>
      </c>
      <c r="C9" s="996"/>
      <c r="D9" s="996"/>
      <c r="E9" s="996"/>
      <c r="G9" s="997"/>
      <c r="Z9" s="1028" t="s">
        <v>612</v>
      </c>
      <c r="AA9" s="1029"/>
      <c r="AB9" s="357">
        <v>3.1300000000000001E-2</v>
      </c>
    </row>
    <row r="10" spans="1:28" ht="90" customHeight="1" x14ac:dyDescent="0.25">
      <c r="A10" s="98" t="s">
        <v>2</v>
      </c>
      <c r="B10" s="1034" t="s">
        <v>865</v>
      </c>
      <c r="C10" s="1034"/>
      <c r="D10" s="1034"/>
      <c r="E10" s="1034"/>
      <c r="G10" s="997"/>
      <c r="H10" s="7"/>
      <c r="Z10" s="1028"/>
      <c r="AA10" s="1029"/>
      <c r="AB10" s="357"/>
    </row>
    <row r="11" spans="1:28" ht="54" customHeight="1" x14ac:dyDescent="0.25">
      <c r="A11" s="98" t="s">
        <v>29</v>
      </c>
      <c r="B11" s="1031" t="s">
        <v>866</v>
      </c>
      <c r="C11" s="1032"/>
      <c r="D11" s="1032"/>
      <c r="E11" s="1033"/>
      <c r="G11" s="225">
        <f>G14*H14</f>
        <v>97410</v>
      </c>
      <c r="H11" s="225" t="s">
        <v>25</v>
      </c>
      <c r="Z11" s="1028" t="s">
        <v>613</v>
      </c>
      <c r="AA11" s="1029"/>
      <c r="AB11" s="357">
        <v>0.26819999999999999</v>
      </c>
    </row>
    <row r="12" spans="1:28" ht="30" customHeight="1" x14ac:dyDescent="0.25">
      <c r="A12" s="98" t="s">
        <v>14</v>
      </c>
      <c r="B12" s="1010" t="s">
        <v>939</v>
      </c>
      <c r="C12" s="1010"/>
      <c r="D12" s="1010"/>
      <c r="E12" s="1010"/>
      <c r="G12" s="225"/>
      <c r="H12" s="225" t="s">
        <v>7</v>
      </c>
      <c r="Z12" s="1028" t="s">
        <v>614</v>
      </c>
      <c r="AA12" s="1029"/>
      <c r="AB12" s="357">
        <v>1.18E-2</v>
      </c>
    </row>
    <row r="13" spans="1:28" ht="30" customHeight="1" x14ac:dyDescent="0.25">
      <c r="A13" s="98" t="s">
        <v>3</v>
      </c>
      <c r="B13" s="1011" t="s">
        <v>943</v>
      </c>
      <c r="C13" s="1011"/>
      <c r="D13" s="1011"/>
      <c r="E13" s="1011"/>
      <c r="G13" s="486" t="s">
        <v>249</v>
      </c>
      <c r="H13" s="486" t="s">
        <v>250</v>
      </c>
      <c r="Z13" s="1028" t="s">
        <v>615</v>
      </c>
      <c r="AA13" s="1029"/>
      <c r="AB13" s="358">
        <v>0.36854545454545451</v>
      </c>
    </row>
    <row r="14" spans="1:28" ht="30" customHeight="1" x14ac:dyDescent="0.25">
      <c r="A14" s="98" t="s">
        <v>15</v>
      </c>
      <c r="B14" s="1010"/>
      <c r="C14" s="1010"/>
      <c r="D14" s="1010"/>
      <c r="E14" s="1010"/>
      <c r="G14" s="486">
        <v>3247</v>
      </c>
      <c r="H14" s="486">
        <v>30</v>
      </c>
      <c r="Z14" s="1028" t="s">
        <v>616</v>
      </c>
      <c r="AA14" s="1029"/>
      <c r="AB14" s="357">
        <v>0.26819999999999999</v>
      </c>
    </row>
    <row r="15" spans="1:28" ht="30" customHeight="1" x14ac:dyDescent="0.25">
      <c r="A15" s="98" t="s">
        <v>4</v>
      </c>
      <c r="B15" s="1010">
        <v>2020</v>
      </c>
      <c r="C15" s="1010"/>
      <c r="D15" s="1010"/>
      <c r="E15" s="1010"/>
      <c r="F15" s="33"/>
      <c r="Z15" s="1028" t="s">
        <v>578</v>
      </c>
      <c r="AA15" s="1029"/>
      <c r="AB15" s="357">
        <v>0.27700000000000002</v>
      </c>
    </row>
    <row r="16" spans="1:28" ht="30" customHeight="1" x14ac:dyDescent="0.25">
      <c r="A16" s="98" t="s">
        <v>5</v>
      </c>
      <c r="B16" s="1010">
        <v>2030</v>
      </c>
      <c r="C16" s="1010"/>
      <c r="D16" s="1010"/>
      <c r="E16" s="1010"/>
      <c r="F16" s="33"/>
      <c r="Z16" s="1028" t="s">
        <v>579</v>
      </c>
      <c r="AA16" s="1029"/>
      <c r="AB16" s="357">
        <v>0.20269999999999999</v>
      </c>
    </row>
    <row r="17" spans="1:9" ht="30" customHeight="1" x14ac:dyDescent="0.25">
      <c r="A17" s="98" t="s">
        <v>6</v>
      </c>
      <c r="B17" s="1000">
        <f>G11</f>
        <v>97410</v>
      </c>
      <c r="C17" s="1000"/>
      <c r="D17" s="1000"/>
      <c r="E17" s="1000"/>
      <c r="F17" s="34"/>
    </row>
    <row r="18" spans="1:9" ht="30" customHeight="1" x14ac:dyDescent="0.25">
      <c r="A18" s="98"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98" t="s">
        <v>8</v>
      </c>
      <c r="B21" s="1000">
        <v>1</v>
      </c>
      <c r="C21" s="1000"/>
      <c r="D21" s="1000"/>
      <c r="E21" s="1000"/>
      <c r="F21" s="33"/>
    </row>
    <row r="22" spans="1:9" ht="30" customHeight="1" x14ac:dyDescent="0.25">
      <c r="A22" s="98" t="s">
        <v>9</v>
      </c>
      <c r="B22" s="1000"/>
      <c r="C22" s="1000"/>
      <c r="D22" s="1000"/>
      <c r="E22" s="1000"/>
      <c r="F22" s="37"/>
    </row>
    <row r="23" spans="1:9" ht="30" customHeight="1" x14ac:dyDescent="0.25">
      <c r="A23" s="98" t="s">
        <v>301</v>
      </c>
      <c r="B23" s="1016">
        <f>B17/(B21+B22)</f>
        <v>97410</v>
      </c>
      <c r="C23" s="1016"/>
      <c r="D23" s="1016"/>
      <c r="E23" s="1016"/>
      <c r="F23" s="37"/>
    </row>
    <row r="24" spans="1:9" ht="30" customHeight="1" x14ac:dyDescent="0.25">
      <c r="A24" s="98" t="s">
        <v>302</v>
      </c>
      <c r="B24" s="1017">
        <f>(B17-B18)/(B21+B22)</f>
        <v>97410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6"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ht="23.25" customHeight="1" x14ac:dyDescent="0.25">
      <c r="G46" s="1022" t="s">
        <v>965</v>
      </c>
      <c r="H46" s="1022"/>
      <c r="I46" s="1022"/>
      <c r="J46" s="1022"/>
      <c r="K46" s="1022"/>
      <c r="L46" s="1022"/>
    </row>
    <row r="47" spans="1:12" ht="23.25" customHeight="1" x14ac:dyDescent="0.25">
      <c r="A47" s="959" t="s">
        <v>966</v>
      </c>
      <c r="B47" s="1022"/>
      <c r="C47" s="1022"/>
      <c r="D47" s="1022"/>
      <c r="E47" s="1022"/>
      <c r="F47" s="1022"/>
      <c r="G47" s="1022"/>
      <c r="H47" s="1022"/>
      <c r="I47" s="1022"/>
      <c r="J47" s="1022"/>
      <c r="K47" s="1022"/>
      <c r="L47" s="1022"/>
    </row>
    <row r="48" spans="1:12" ht="23.25" customHeight="1" x14ac:dyDescent="0.25">
      <c r="A48" s="959"/>
      <c r="B48" s="1022"/>
      <c r="C48" s="1022"/>
      <c r="D48" s="1022"/>
      <c r="E48" s="1022"/>
      <c r="F48" s="1022"/>
      <c r="G48" s="1022"/>
      <c r="H48" s="1022"/>
      <c r="I48" s="1022"/>
      <c r="J48" s="1022"/>
      <c r="K48" s="1022"/>
      <c r="L48" s="1022"/>
    </row>
    <row r="49" spans="1:12" ht="23.25" customHeight="1" x14ac:dyDescent="0.25">
      <c r="A49" s="959"/>
      <c r="B49" s="1022"/>
      <c r="C49" s="1022"/>
      <c r="D49" s="1022"/>
      <c r="E49" s="1022"/>
      <c r="F49" s="1022"/>
      <c r="G49" s="1022"/>
      <c r="H49" s="1022"/>
      <c r="I49" s="1022"/>
      <c r="J49" s="1022"/>
      <c r="K49" s="1022"/>
      <c r="L49" s="1022"/>
    </row>
    <row r="50" spans="1:12" ht="23.25" customHeight="1" x14ac:dyDescent="0.25">
      <c r="A50" s="959"/>
      <c r="B50" s="1022"/>
      <c r="C50" s="1022"/>
      <c r="D50" s="1022"/>
      <c r="E50" s="1022"/>
      <c r="F50" s="1022"/>
      <c r="G50" s="1022"/>
      <c r="H50" s="1022"/>
      <c r="I50" s="1022"/>
      <c r="J50" s="1022"/>
      <c r="K50" s="1022"/>
      <c r="L50" s="1022"/>
    </row>
    <row r="51" spans="1:12" ht="23.25" customHeight="1" x14ac:dyDescent="0.25">
      <c r="A51" s="959"/>
      <c r="B51" s="1022"/>
      <c r="C51" s="1022"/>
      <c r="D51" s="1022"/>
      <c r="E51" s="1022"/>
      <c r="F51" s="1022"/>
      <c r="G51" s="1022"/>
      <c r="H51" s="1022"/>
      <c r="I51" s="1022"/>
      <c r="J51" s="1022"/>
      <c r="K51" s="1022"/>
      <c r="L51" s="1022"/>
    </row>
    <row r="52" spans="1:12" ht="23.25" customHeight="1" x14ac:dyDescent="0.25">
      <c r="A52" s="959" t="s">
        <v>967</v>
      </c>
      <c r="B52" s="1022"/>
      <c r="C52" s="1022"/>
      <c r="D52" s="1022"/>
      <c r="E52" s="1022"/>
      <c r="F52" s="1022"/>
      <c r="G52" s="1022"/>
      <c r="H52" s="1022"/>
      <c r="I52" s="1022"/>
      <c r="J52" s="1022"/>
      <c r="K52" s="1022"/>
      <c r="L52" s="1022"/>
    </row>
    <row r="53" spans="1:12" ht="23.25" customHeight="1" x14ac:dyDescent="0.25">
      <c r="A53" s="959"/>
      <c r="B53" s="1022"/>
      <c r="C53" s="1022"/>
      <c r="D53" s="1022"/>
      <c r="E53" s="1022"/>
      <c r="F53" s="1022"/>
      <c r="G53" s="1022"/>
      <c r="H53" s="1022"/>
      <c r="I53" s="1022"/>
      <c r="J53" s="1022"/>
      <c r="K53" s="1022"/>
      <c r="L53" s="1022"/>
    </row>
    <row r="54" spans="1:12" ht="23.25" customHeight="1" x14ac:dyDescent="0.25">
      <c r="A54" s="959"/>
      <c r="B54" s="1022"/>
      <c r="C54" s="1022"/>
      <c r="D54" s="1022"/>
      <c r="E54" s="1022"/>
      <c r="F54" s="1022"/>
      <c r="G54" s="1022"/>
      <c r="H54" s="1022"/>
      <c r="I54" s="1022"/>
      <c r="J54" s="1022"/>
      <c r="K54" s="1022"/>
      <c r="L54" s="1022"/>
    </row>
    <row r="55" spans="1:12" ht="23.25" customHeight="1" x14ac:dyDescent="0.25">
      <c r="A55" s="959"/>
      <c r="B55" s="1022"/>
      <c r="C55" s="1022"/>
      <c r="D55" s="1022"/>
      <c r="E55" s="1022"/>
      <c r="F55" s="1022"/>
      <c r="G55" s="1022"/>
      <c r="H55" s="1022"/>
      <c r="I55" s="1022"/>
      <c r="J55" s="1022"/>
      <c r="K55" s="1022"/>
      <c r="L55" s="1022"/>
    </row>
    <row r="56" spans="1:12" ht="23.25" customHeight="1" x14ac:dyDescent="0.25">
      <c r="A56" s="959"/>
      <c r="B56" s="1022"/>
      <c r="C56" s="1022"/>
      <c r="D56" s="1022"/>
      <c r="E56" s="1022"/>
      <c r="F56" s="1022"/>
      <c r="G56" s="1022"/>
      <c r="H56" s="1022"/>
      <c r="I56" s="1022"/>
      <c r="J56" s="1022"/>
      <c r="K56" s="1022"/>
      <c r="L56" s="1022"/>
    </row>
    <row r="57" spans="1:12" ht="23.25" customHeight="1" x14ac:dyDescent="0.25">
      <c r="A57" s="959"/>
      <c r="B57" s="1022"/>
      <c r="C57" s="1022"/>
      <c r="D57" s="1022"/>
      <c r="E57" s="1022"/>
      <c r="F57" s="1022"/>
      <c r="G57" s="1022"/>
      <c r="H57" s="1022"/>
      <c r="I57" s="1022"/>
      <c r="J57" s="1022"/>
      <c r="K57" s="1022"/>
      <c r="L57" s="1022"/>
    </row>
    <row r="58" spans="1:12" ht="23.25" customHeight="1" x14ac:dyDescent="0.25">
      <c r="A58" s="959"/>
      <c r="B58" s="1022"/>
      <c r="C58" s="1022"/>
      <c r="D58" s="1022"/>
      <c r="E58" s="1022"/>
      <c r="F58" s="1022"/>
      <c r="G58" s="1022"/>
      <c r="H58" s="1022"/>
      <c r="I58" s="1022"/>
      <c r="J58" s="1022"/>
      <c r="K58" s="1022"/>
      <c r="L58" s="1022"/>
    </row>
    <row r="59" spans="1:12" ht="23.25" customHeight="1" x14ac:dyDescent="0.25">
      <c r="A59" s="959"/>
      <c r="B59" s="1022"/>
      <c r="C59" s="1022"/>
      <c r="D59" s="1022"/>
      <c r="E59" s="1022"/>
      <c r="F59" s="1022"/>
      <c r="G59" s="1022"/>
      <c r="H59" s="1022"/>
      <c r="I59" s="1022"/>
      <c r="J59" s="1022"/>
      <c r="K59" s="1022"/>
      <c r="L59" s="1022"/>
    </row>
    <row r="60" spans="1:12" ht="23.25" customHeight="1" x14ac:dyDescent="0.25">
      <c r="A60" s="959"/>
      <c r="B60" s="1022"/>
      <c r="C60" s="1022"/>
      <c r="D60" s="1022"/>
      <c r="E60" s="1022"/>
      <c r="F60" s="1022"/>
      <c r="G60" s="1022"/>
      <c r="H60" s="1022"/>
      <c r="I60" s="1022"/>
      <c r="J60" s="1022"/>
      <c r="K60" s="1022"/>
      <c r="L60" s="1022"/>
    </row>
    <row r="61" spans="1:12" ht="23.25" customHeight="1" x14ac:dyDescent="0.25">
      <c r="A61" s="959"/>
      <c r="B61" s="1022"/>
      <c r="C61" s="1022"/>
      <c r="D61" s="1022"/>
      <c r="E61" s="1022"/>
      <c r="F61" s="1022"/>
      <c r="G61" s="1022"/>
      <c r="H61" s="1022"/>
      <c r="I61" s="1022"/>
      <c r="J61" s="1022"/>
      <c r="K61" s="1022"/>
      <c r="L61" s="1022"/>
    </row>
    <row r="62" spans="1:12" ht="23.25" customHeight="1" x14ac:dyDescent="0.25">
      <c r="A62" s="959"/>
      <c r="B62" s="1022"/>
      <c r="C62" s="1022"/>
      <c r="D62" s="1022"/>
      <c r="E62" s="1022"/>
      <c r="F62" s="1022"/>
      <c r="G62" s="1022"/>
      <c r="H62" s="1022"/>
      <c r="I62" s="1022"/>
      <c r="J62" s="1022"/>
      <c r="K62" s="1022"/>
      <c r="L62" s="1022"/>
    </row>
    <row r="63" spans="1:12" ht="23.25" customHeight="1" x14ac:dyDescent="0.25">
      <c r="A63" s="959" t="s">
        <v>968</v>
      </c>
      <c r="B63" s="1022"/>
      <c r="C63" s="1022"/>
      <c r="D63" s="1022"/>
      <c r="E63" s="1022"/>
      <c r="F63" s="1022"/>
      <c r="G63" s="1022"/>
      <c r="H63" s="1022"/>
      <c r="I63" s="1022"/>
      <c r="J63" s="1022"/>
      <c r="K63" s="1022"/>
      <c r="L63" s="1022"/>
    </row>
    <row r="64" spans="1:12" ht="23.25" customHeight="1" x14ac:dyDescent="0.25">
      <c r="A64" s="959"/>
      <c r="B64" s="1022"/>
      <c r="C64" s="1022"/>
      <c r="D64" s="1022"/>
      <c r="E64" s="1022"/>
      <c r="F64" s="1022"/>
      <c r="G64" s="1022"/>
      <c r="H64" s="1022"/>
      <c r="I64" s="1022"/>
      <c r="J64" s="1022"/>
      <c r="K64" s="1022"/>
      <c r="L64" s="1022"/>
    </row>
    <row r="65" spans="1:12" ht="23.25" customHeight="1" x14ac:dyDescent="0.25">
      <c r="A65" s="959"/>
      <c r="B65" s="1022"/>
      <c r="C65" s="1022"/>
      <c r="D65" s="1022"/>
      <c r="E65" s="1022"/>
      <c r="F65" s="1022"/>
      <c r="G65" s="1022"/>
      <c r="H65" s="1022"/>
      <c r="I65" s="1022"/>
      <c r="J65" s="1022"/>
      <c r="K65" s="1022"/>
      <c r="L65" s="1022"/>
    </row>
    <row r="66" spans="1:12" ht="23.25" customHeight="1" x14ac:dyDescent="0.25">
      <c r="A66" s="959"/>
      <c r="B66" s="1022"/>
      <c r="C66" s="1022"/>
      <c r="D66" s="1022"/>
      <c r="E66" s="1022"/>
      <c r="F66" s="1022"/>
      <c r="G66" s="1022"/>
      <c r="H66" s="1022"/>
      <c r="I66" s="1022"/>
      <c r="J66" s="1022"/>
      <c r="K66" s="1022"/>
      <c r="L66" s="1022"/>
    </row>
    <row r="67" spans="1:12" ht="23.25" customHeight="1" x14ac:dyDescent="0.25">
      <c r="A67" s="959"/>
      <c r="B67" s="1022"/>
      <c r="C67" s="1022"/>
      <c r="D67" s="1022"/>
      <c r="E67" s="1022"/>
      <c r="F67" s="1022"/>
      <c r="G67" s="1022"/>
      <c r="H67" s="1022"/>
      <c r="I67" s="1022"/>
      <c r="J67" s="1022"/>
      <c r="K67" s="1022"/>
      <c r="L67" s="1022"/>
    </row>
    <row r="68" spans="1:12" ht="23.25" customHeight="1" x14ac:dyDescent="0.25">
      <c r="A68" s="959"/>
      <c r="B68" s="1022"/>
      <c r="C68" s="1022"/>
      <c r="D68" s="1022"/>
      <c r="E68" s="1022"/>
      <c r="F68" s="1022"/>
      <c r="G68" s="1022"/>
      <c r="H68" s="1022"/>
      <c r="I68" s="1022"/>
      <c r="J68" s="1022"/>
      <c r="K68" s="1022"/>
      <c r="L68" s="1022"/>
    </row>
    <row r="69" spans="1:12" ht="23.25" customHeight="1"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B23:E23"/>
    <mergeCell ref="B24:E24"/>
    <mergeCell ref="B20:E20"/>
    <mergeCell ref="G46:L46"/>
    <mergeCell ref="B35:D35"/>
    <mergeCell ref="H35:I35"/>
    <mergeCell ref="B36:D36"/>
    <mergeCell ref="B42:D42"/>
    <mergeCell ref="B44:D44"/>
    <mergeCell ref="B37:D37"/>
    <mergeCell ref="B38:D38"/>
    <mergeCell ref="B39:D39"/>
    <mergeCell ref="B40:D40"/>
    <mergeCell ref="Z16:AA16"/>
    <mergeCell ref="Z11:AA11"/>
    <mergeCell ref="Z12:AA12"/>
    <mergeCell ref="Z13:AA13"/>
    <mergeCell ref="Z14:AA14"/>
    <mergeCell ref="Z15:AA15"/>
    <mergeCell ref="B31:D31"/>
    <mergeCell ref="B32:D32"/>
    <mergeCell ref="G32:I32"/>
    <mergeCell ref="B29:E29"/>
    <mergeCell ref="B17:E17"/>
    <mergeCell ref="B12:E12"/>
    <mergeCell ref="B13:E13"/>
    <mergeCell ref="B14:E14"/>
    <mergeCell ref="B15:E15"/>
    <mergeCell ref="B16:E16"/>
    <mergeCell ref="B25:E25"/>
    <mergeCell ref="B26:E26"/>
    <mergeCell ref="B27:E27"/>
    <mergeCell ref="B28:E28"/>
    <mergeCell ref="B18:E18"/>
    <mergeCell ref="B19:E19"/>
    <mergeCell ref="B21:E21"/>
    <mergeCell ref="B22:E22"/>
    <mergeCell ref="B41:D41"/>
    <mergeCell ref="G7:H7"/>
    <mergeCell ref="A1:E1"/>
    <mergeCell ref="B2:E2"/>
    <mergeCell ref="G2:H2"/>
    <mergeCell ref="B3:E3"/>
    <mergeCell ref="G3:H3"/>
    <mergeCell ref="G6:H6"/>
    <mergeCell ref="G4:H4"/>
    <mergeCell ref="G5:H5"/>
    <mergeCell ref="B4:E4"/>
    <mergeCell ref="B5:E5"/>
    <mergeCell ref="B6:E6"/>
    <mergeCell ref="B7:E7"/>
    <mergeCell ref="B33:D33"/>
    <mergeCell ref="H33:I33"/>
    <mergeCell ref="G40:I40"/>
    <mergeCell ref="B34:D34"/>
    <mergeCell ref="H34:I34"/>
    <mergeCell ref="G8:G10"/>
    <mergeCell ref="B8:E8"/>
    <mergeCell ref="B9:E9"/>
    <mergeCell ref="B10:E10"/>
    <mergeCell ref="B11:E11"/>
  </mergeCells>
  <conditionalFormatting sqref="B5">
    <cfRule type="containsText" dxfId="317" priority="1" operator="containsText" text="Terminé">
      <formula>NOT(ISERROR(SEARCH("Terminé",B5)))</formula>
    </cfRule>
    <cfRule type="containsText" dxfId="316" priority="2" operator="containsText" text="En cours">
      <formula>NOT(ISERROR(SEARCH("En cours",B5)))</formula>
    </cfRule>
    <cfRule type="containsText" dxfId="31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3"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867</v>
      </c>
      <c r="C2" s="1002"/>
      <c r="D2" s="1002"/>
      <c r="E2" s="1002"/>
      <c r="F2" s="7"/>
      <c r="G2" s="986" t="s">
        <v>751</v>
      </c>
      <c r="H2" s="986"/>
    </row>
    <row r="3" spans="1:28" ht="19.5" customHeight="1" x14ac:dyDescent="0.25">
      <c r="A3" s="483" t="s">
        <v>743</v>
      </c>
      <c r="B3" s="987" t="s">
        <v>434</v>
      </c>
      <c r="C3" s="987"/>
      <c r="D3" s="987"/>
      <c r="E3" s="987"/>
      <c r="F3" s="7"/>
      <c r="G3" s="986" t="s">
        <v>752</v>
      </c>
      <c r="H3" s="986"/>
    </row>
    <row r="4" spans="1:28" ht="19.5" customHeight="1" x14ac:dyDescent="0.25">
      <c r="A4" s="482" t="s">
        <v>292</v>
      </c>
      <c r="B4" s="996" t="s">
        <v>380</v>
      </c>
      <c r="C4" s="996"/>
      <c r="D4" s="996"/>
      <c r="E4" s="996"/>
      <c r="F4" s="7"/>
      <c r="G4" s="986" t="s">
        <v>753</v>
      </c>
      <c r="H4" s="986"/>
    </row>
    <row r="5" spans="1:28" ht="19.5" customHeight="1" x14ac:dyDescent="0.25">
      <c r="A5" s="482"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487"/>
      <c r="J7" s="487"/>
      <c r="Z7" s="484"/>
      <c r="AA7" s="485"/>
      <c r="AB7" s="357"/>
    </row>
    <row r="8" spans="1:28" ht="24" customHeight="1" x14ac:dyDescent="0.25">
      <c r="A8" s="491" t="s">
        <v>1</v>
      </c>
      <c r="B8" s="996" t="s">
        <v>877</v>
      </c>
      <c r="C8" s="996"/>
      <c r="D8" s="996"/>
      <c r="E8" s="996"/>
      <c r="G8" s="997" t="s">
        <v>936</v>
      </c>
      <c r="Z8" s="1028" t="s">
        <v>611</v>
      </c>
      <c r="AA8" s="1029"/>
      <c r="AB8" s="357">
        <v>0.26819999999999999</v>
      </c>
    </row>
    <row r="9" spans="1:28" ht="24" customHeight="1" x14ac:dyDescent="0.25">
      <c r="A9" s="491" t="s">
        <v>0</v>
      </c>
      <c r="B9" s="996" t="s">
        <v>878</v>
      </c>
      <c r="C9" s="996"/>
      <c r="D9" s="996"/>
      <c r="E9" s="996"/>
      <c r="G9" s="997"/>
      <c r="Z9" s="1028" t="s">
        <v>612</v>
      </c>
      <c r="AA9" s="1029"/>
      <c r="AB9" s="357">
        <v>3.1300000000000001E-2</v>
      </c>
    </row>
    <row r="10" spans="1:28" ht="45.75" customHeight="1" x14ac:dyDescent="0.25">
      <c r="A10" s="491" t="s">
        <v>2</v>
      </c>
      <c r="B10" s="1008" t="s">
        <v>879</v>
      </c>
      <c r="C10" s="1008"/>
      <c r="D10" s="1008"/>
      <c r="E10" s="1008"/>
      <c r="G10" s="997"/>
      <c r="H10" s="7"/>
      <c r="Z10" s="1028"/>
      <c r="AA10" s="1029"/>
      <c r="AB10" s="357"/>
    </row>
    <row r="11" spans="1:28" ht="54" customHeight="1" x14ac:dyDescent="0.25">
      <c r="A11" s="491" t="s">
        <v>29</v>
      </c>
      <c r="B11" s="1009" t="s">
        <v>890</v>
      </c>
      <c r="C11" s="1009"/>
      <c r="D11" s="1009"/>
      <c r="E11" s="1009"/>
      <c r="G11" s="225">
        <v>2000</v>
      </c>
      <c r="H11" s="225" t="s">
        <v>25</v>
      </c>
      <c r="Z11" s="1028" t="s">
        <v>613</v>
      </c>
      <c r="AA11" s="1029"/>
      <c r="AB11" s="357">
        <v>0.26819999999999999</v>
      </c>
    </row>
    <row r="12" spans="1:28" ht="30" customHeight="1" x14ac:dyDescent="0.25">
      <c r="A12" s="491" t="s">
        <v>14</v>
      </c>
      <c r="B12" s="1010" t="s">
        <v>939</v>
      </c>
      <c r="C12" s="1010"/>
      <c r="D12" s="1010"/>
      <c r="E12" s="1010"/>
      <c r="G12" s="225"/>
      <c r="H12" s="225" t="s">
        <v>7</v>
      </c>
      <c r="Z12" s="1028" t="s">
        <v>614</v>
      </c>
      <c r="AA12" s="1029"/>
      <c r="AB12" s="357">
        <v>1.18E-2</v>
      </c>
    </row>
    <row r="13" spans="1:28" ht="30" customHeight="1" x14ac:dyDescent="0.25">
      <c r="A13" s="491" t="s">
        <v>3</v>
      </c>
      <c r="B13" s="1011" t="s">
        <v>943</v>
      </c>
      <c r="C13" s="1011"/>
      <c r="D13" s="1011"/>
      <c r="E13" s="1011"/>
      <c r="G13" s="488" t="s">
        <v>880</v>
      </c>
      <c r="H13" s="488" t="s">
        <v>881</v>
      </c>
      <c r="I13" s="488" t="s">
        <v>882</v>
      </c>
      <c r="J13" s="488" t="s">
        <v>883</v>
      </c>
      <c r="K13" s="488" t="s">
        <v>884</v>
      </c>
      <c r="L13" s="59" t="s">
        <v>156</v>
      </c>
      <c r="M13" s="59" t="s">
        <v>889</v>
      </c>
      <c r="N13" s="60" t="s">
        <v>888</v>
      </c>
      <c r="Z13" s="1028" t="s">
        <v>615</v>
      </c>
      <c r="AA13" s="1029"/>
      <c r="AB13" s="358">
        <v>0.36854545454545451</v>
      </c>
    </row>
    <row r="14" spans="1:28" ht="30" customHeight="1" x14ac:dyDescent="0.25">
      <c r="A14" s="491" t="s">
        <v>15</v>
      </c>
      <c r="B14" s="1010"/>
      <c r="C14" s="1010"/>
      <c r="D14" s="1010"/>
      <c r="E14" s="1010"/>
      <c r="G14" s="486">
        <f>K18*1.14</f>
        <v>2280</v>
      </c>
      <c r="H14" s="486">
        <f>K19*1.14</f>
        <v>0</v>
      </c>
      <c r="I14" s="486">
        <f>K20*1.14</f>
        <v>0</v>
      </c>
      <c r="J14" s="486">
        <f>K21*1.14</f>
        <v>0</v>
      </c>
      <c r="K14" s="486">
        <f>K22*1.14</f>
        <v>0</v>
      </c>
      <c r="L14" s="489">
        <v>10</v>
      </c>
      <c r="M14" s="489">
        <v>0.7</v>
      </c>
      <c r="N14" s="490">
        <f>AB8</f>
        <v>0.26819999999999999</v>
      </c>
      <c r="O14" s="494" t="s">
        <v>887</v>
      </c>
      <c r="Z14" s="1028" t="s">
        <v>616</v>
      </c>
      <c r="AA14" s="1029"/>
      <c r="AB14" s="357">
        <v>0.26819999999999999</v>
      </c>
    </row>
    <row r="15" spans="1:28" ht="30" customHeight="1" x14ac:dyDescent="0.25">
      <c r="A15" s="491" t="s">
        <v>4</v>
      </c>
      <c r="B15" s="1010">
        <v>2020</v>
      </c>
      <c r="C15" s="1010"/>
      <c r="D15" s="1010"/>
      <c r="E15" s="1010"/>
      <c r="F15" s="33"/>
      <c r="G15" s="486">
        <f>L18</f>
        <v>5000</v>
      </c>
      <c r="H15" s="486">
        <f>L19</f>
        <v>0</v>
      </c>
      <c r="I15" s="486">
        <f>L20</f>
        <v>0</v>
      </c>
      <c r="J15" s="486">
        <f>L21</f>
        <v>0</v>
      </c>
      <c r="K15" s="486">
        <f>L22</f>
        <v>0</v>
      </c>
      <c r="L15" s="493">
        <v>10</v>
      </c>
      <c r="M15" s="493">
        <v>0.24</v>
      </c>
      <c r="N15" s="95">
        <f>AB15</f>
        <v>0.27700000000000002</v>
      </c>
      <c r="O15" s="494" t="s">
        <v>578</v>
      </c>
      <c r="Z15" s="1028" t="s">
        <v>578</v>
      </c>
      <c r="AA15" s="1029"/>
      <c r="AB15" s="357">
        <v>0.27700000000000002</v>
      </c>
    </row>
    <row r="16" spans="1:28" ht="30" customHeight="1" x14ac:dyDescent="0.25">
      <c r="A16" s="491" t="s">
        <v>5</v>
      </c>
      <c r="B16" s="1010">
        <v>2030</v>
      </c>
      <c r="C16" s="1010"/>
      <c r="D16" s="1010"/>
      <c r="E16" s="1010"/>
      <c r="F16" s="33"/>
      <c r="Z16" s="1028" t="s">
        <v>579</v>
      </c>
      <c r="AA16" s="1029"/>
      <c r="AB16" s="357">
        <v>0.20269999999999999</v>
      </c>
    </row>
    <row r="17" spans="1:12" ht="30" customHeight="1" x14ac:dyDescent="0.25">
      <c r="A17" s="491" t="s">
        <v>6</v>
      </c>
      <c r="B17" s="1000">
        <f>G11</f>
        <v>2000</v>
      </c>
      <c r="C17" s="1000"/>
      <c r="D17" s="1000"/>
      <c r="E17" s="1000"/>
      <c r="F17" s="34"/>
      <c r="H17" s="2"/>
      <c r="K17" s="6" t="s">
        <v>885</v>
      </c>
      <c r="L17" s="6" t="s">
        <v>886</v>
      </c>
    </row>
    <row r="18" spans="1:12" ht="30" customHeight="1" x14ac:dyDescent="0.25">
      <c r="A18" s="491" t="s">
        <v>7</v>
      </c>
      <c r="B18" s="1000">
        <f>SUM(G12:L12)</f>
        <v>0</v>
      </c>
      <c r="C18" s="1000"/>
      <c r="D18" s="1000"/>
      <c r="E18" s="1000"/>
      <c r="F18" s="35"/>
      <c r="H18" s="1064"/>
      <c r="I18" s="1064"/>
      <c r="J18" s="1064"/>
      <c r="K18" s="480">
        <v>2000</v>
      </c>
      <c r="L18" s="480">
        <v>5000</v>
      </c>
    </row>
    <row r="19" spans="1:12" ht="30" customHeight="1" x14ac:dyDescent="0.25">
      <c r="A19" s="99" t="s">
        <v>307</v>
      </c>
      <c r="B19" s="1039">
        <f>SUM(G14:K14)*10*L14/100+SUM(G15:K15)*L15</f>
        <v>52280</v>
      </c>
      <c r="C19" s="1040"/>
      <c r="D19" s="1040"/>
      <c r="E19" s="1040"/>
      <c r="F19" s="33"/>
      <c r="H19" s="1064"/>
      <c r="I19" s="1064"/>
      <c r="J19" s="1064"/>
      <c r="K19" s="480"/>
      <c r="L19" s="480"/>
    </row>
    <row r="20" spans="1:12" ht="30" customHeight="1" x14ac:dyDescent="0.25">
      <c r="A20" s="96" t="s">
        <v>306</v>
      </c>
      <c r="B20" s="1043"/>
      <c r="C20" s="1043"/>
      <c r="D20" s="1043"/>
      <c r="E20" s="1043"/>
      <c r="F20" s="36"/>
      <c r="H20" s="1064"/>
      <c r="I20" s="1064"/>
      <c r="J20" s="1064"/>
      <c r="K20" s="480"/>
      <c r="L20" s="480"/>
    </row>
    <row r="21" spans="1:12" ht="30" customHeight="1" x14ac:dyDescent="0.25">
      <c r="A21" s="491" t="s">
        <v>8</v>
      </c>
      <c r="B21" s="1000">
        <f>SUM(G14:K14)*L14/100*M14+SUM(G15:K15)*L15/100*M15</f>
        <v>279.60000000000002</v>
      </c>
      <c r="C21" s="1000"/>
      <c r="D21" s="1000"/>
      <c r="E21" s="1000"/>
      <c r="F21" s="33"/>
      <c r="H21" s="1064"/>
      <c r="I21" s="1064"/>
      <c r="J21" s="1064"/>
      <c r="K21" s="480"/>
      <c r="L21" s="480"/>
    </row>
    <row r="22" spans="1:12" ht="30" customHeight="1" x14ac:dyDescent="0.25">
      <c r="A22" s="491" t="s">
        <v>9</v>
      </c>
      <c r="B22" s="1000"/>
      <c r="C22" s="1000"/>
      <c r="D22" s="1000"/>
      <c r="E22" s="1000"/>
      <c r="F22" s="37"/>
      <c r="H22" s="1064"/>
      <c r="I22" s="1064"/>
      <c r="J22" s="1064"/>
      <c r="K22" s="480"/>
      <c r="L22" s="480"/>
    </row>
    <row r="23" spans="1:12" ht="30" customHeight="1" x14ac:dyDescent="0.25">
      <c r="A23" s="491" t="s">
        <v>301</v>
      </c>
      <c r="B23" s="1016">
        <f>B17/(B21+B22)</f>
        <v>7.1530758226037188</v>
      </c>
      <c r="C23" s="1016"/>
      <c r="D23" s="1016"/>
      <c r="E23" s="1016"/>
      <c r="F23" s="37"/>
      <c r="H23" s="1064"/>
      <c r="I23" s="1064"/>
      <c r="J23" s="1064"/>
      <c r="K23" s="480"/>
      <c r="L23" s="480"/>
    </row>
    <row r="24" spans="1:12" ht="30" customHeight="1" x14ac:dyDescent="0.25">
      <c r="A24" s="491" t="s">
        <v>302</v>
      </c>
      <c r="B24" s="1017">
        <f>(B17-B18)/(B21+B22)</f>
        <v>7.1530758226037188</v>
      </c>
      <c r="C24" s="1017"/>
      <c r="D24" s="1017"/>
      <c r="E24" s="1017"/>
      <c r="F24" s="38"/>
    </row>
    <row r="25" spans="1:12" ht="30" customHeight="1" x14ac:dyDescent="0.25">
      <c r="A25" s="100" t="s">
        <v>305</v>
      </c>
      <c r="B25" s="1030">
        <f>SUM(G14:K14)*L14/10000*N14+SUM(G15:K15)*L15/1000*N15</f>
        <v>14.461496000000002</v>
      </c>
      <c r="C25" s="1030"/>
      <c r="D25" s="1030"/>
      <c r="E25" s="1030"/>
      <c r="F25" s="39"/>
    </row>
    <row r="26" spans="1:12" ht="30" customHeight="1" x14ac:dyDescent="0.25">
      <c r="A26" s="101" t="s">
        <v>303</v>
      </c>
      <c r="B26" s="1021">
        <f>B25/'Objectifs CO2'!C11</f>
        <v>6.6699030374664844E-3</v>
      </c>
      <c r="C26" s="1021"/>
      <c r="D26" s="1021"/>
      <c r="E26" s="1021"/>
      <c r="F26" s="40"/>
    </row>
    <row r="27" spans="1:12" ht="30" customHeight="1" x14ac:dyDescent="0.25">
      <c r="A27" s="101" t="s">
        <v>304</v>
      </c>
      <c r="B27" s="1044">
        <f>B25/'Objectifs CO2'!C4</f>
        <v>6.6699030374664839E-4</v>
      </c>
      <c r="C27" s="1045"/>
      <c r="D27" s="1045"/>
      <c r="E27" s="1045"/>
      <c r="F27" s="41"/>
    </row>
    <row r="28" spans="1:12" ht="30" customHeight="1" x14ac:dyDescent="0.25">
      <c r="A28" s="101" t="s">
        <v>22</v>
      </c>
      <c r="B28" s="999"/>
      <c r="C28" s="999"/>
      <c r="D28" s="999"/>
      <c r="E28" s="999"/>
    </row>
    <row r="29" spans="1:12" ht="30" customHeight="1" x14ac:dyDescent="0.25">
      <c r="A29" s="101" t="s">
        <v>257</v>
      </c>
      <c r="B29" s="999"/>
      <c r="C29" s="999"/>
      <c r="D29" s="999"/>
      <c r="E29" s="999"/>
    </row>
    <row r="31" spans="1:12" ht="23.25" customHeight="1" x14ac:dyDescent="0.25">
      <c r="A31" s="603" t="s">
        <v>1065</v>
      </c>
      <c r="B31" s="1003" t="s">
        <v>675</v>
      </c>
      <c r="C31" s="1003"/>
      <c r="D31" s="1003"/>
      <c r="E31" s="479" t="s">
        <v>676</v>
      </c>
    </row>
    <row r="32" spans="1:12"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1">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4:D44"/>
    <mergeCell ref="H18:J18"/>
    <mergeCell ref="H19:J19"/>
    <mergeCell ref="H20:J20"/>
    <mergeCell ref="H21:J21"/>
    <mergeCell ref="H22:J22"/>
    <mergeCell ref="H23:J23"/>
    <mergeCell ref="B38:D38"/>
    <mergeCell ref="B39:D39"/>
    <mergeCell ref="B40:D40"/>
    <mergeCell ref="G40:I40"/>
    <mergeCell ref="B41:D41"/>
    <mergeCell ref="B42:D42"/>
    <mergeCell ref="B34:D34"/>
    <mergeCell ref="H34:I34"/>
    <mergeCell ref="B35:D35"/>
    <mergeCell ref="H35:I35"/>
    <mergeCell ref="B36:D36"/>
    <mergeCell ref="B37:D37"/>
    <mergeCell ref="B29:E29"/>
    <mergeCell ref="B31:D31"/>
    <mergeCell ref="B32:D32"/>
    <mergeCell ref="G32:I32"/>
    <mergeCell ref="B33:D33"/>
    <mergeCell ref="H33:I33"/>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314" priority="1" operator="containsText" text="Terminé">
      <formula>NOT(ISERROR(SEARCH("Terminé",B5)))</formula>
    </cfRule>
    <cfRule type="containsText" dxfId="313" priority="2" operator="containsText" text="En cours">
      <formula>NOT(ISERROR(SEARCH("En cours",B5)))</formula>
    </cfRule>
    <cfRule type="containsText" dxfId="31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20"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868</v>
      </c>
      <c r="C2" s="1002"/>
      <c r="D2" s="1002"/>
      <c r="E2" s="1002"/>
      <c r="F2" s="7"/>
      <c r="G2" s="986" t="s">
        <v>751</v>
      </c>
      <c r="H2" s="986"/>
    </row>
    <row r="3" spans="1:28" ht="19.5" customHeight="1" x14ac:dyDescent="0.25">
      <c r="A3" s="483" t="s">
        <v>743</v>
      </c>
      <c r="B3" s="987" t="s">
        <v>434</v>
      </c>
      <c r="C3" s="987"/>
      <c r="D3" s="987"/>
      <c r="E3" s="987"/>
      <c r="F3" s="7"/>
      <c r="G3" s="986" t="s">
        <v>752</v>
      </c>
      <c r="H3" s="986"/>
    </row>
    <row r="4" spans="1:28" ht="19.5" customHeight="1" x14ac:dyDescent="0.25">
      <c r="A4" s="482" t="s">
        <v>292</v>
      </c>
      <c r="B4" s="996" t="s">
        <v>380</v>
      </c>
      <c r="C4" s="996"/>
      <c r="D4" s="996"/>
      <c r="E4" s="996"/>
      <c r="F4" s="7"/>
      <c r="G4" s="986" t="s">
        <v>753</v>
      </c>
      <c r="H4" s="986"/>
    </row>
    <row r="5" spans="1:28" ht="19.5" customHeight="1" x14ac:dyDescent="0.25">
      <c r="A5" s="482"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487"/>
      <c r="J7" s="487"/>
      <c r="Z7" s="484"/>
      <c r="AA7" s="485"/>
      <c r="AB7" s="357"/>
    </row>
    <row r="8" spans="1:28" ht="24" customHeight="1" x14ac:dyDescent="0.25">
      <c r="A8" s="491" t="s">
        <v>1</v>
      </c>
      <c r="B8" s="967" t="s">
        <v>862</v>
      </c>
      <c r="C8" s="967"/>
      <c r="D8" s="967"/>
      <c r="E8" s="967"/>
      <c r="G8" s="997" t="s">
        <v>936</v>
      </c>
      <c r="Z8" s="1028" t="s">
        <v>611</v>
      </c>
      <c r="AA8" s="1029"/>
      <c r="AB8" s="357">
        <v>0.26819999999999999</v>
      </c>
    </row>
    <row r="9" spans="1:28" ht="24" customHeight="1" x14ac:dyDescent="0.25">
      <c r="A9" s="491" t="s">
        <v>0</v>
      </c>
      <c r="B9" s="996" t="s">
        <v>891</v>
      </c>
      <c r="C9" s="996"/>
      <c r="D9" s="996"/>
      <c r="E9" s="996"/>
      <c r="G9" s="997"/>
      <c r="Z9" s="1028" t="s">
        <v>612</v>
      </c>
      <c r="AA9" s="1029"/>
      <c r="AB9" s="357">
        <v>3.1300000000000001E-2</v>
      </c>
    </row>
    <row r="10" spans="1:28" ht="57.75" customHeight="1" x14ac:dyDescent="0.25">
      <c r="A10" s="491" t="s">
        <v>2</v>
      </c>
      <c r="B10" s="1008" t="s">
        <v>962</v>
      </c>
      <c r="C10" s="1009"/>
      <c r="D10" s="1009"/>
      <c r="E10" s="1009"/>
      <c r="G10" s="997"/>
      <c r="H10" s="7"/>
      <c r="Z10" s="1028"/>
      <c r="AA10" s="1029"/>
      <c r="AB10" s="357"/>
    </row>
    <row r="11" spans="1:28" ht="54" customHeight="1" x14ac:dyDescent="0.25">
      <c r="A11" s="491" t="s">
        <v>29</v>
      </c>
      <c r="B11" s="1031"/>
      <c r="C11" s="1032"/>
      <c r="D11" s="1032"/>
      <c r="E11" s="1033"/>
      <c r="G11" s="254">
        <v>2000</v>
      </c>
      <c r="H11" s="225" t="s">
        <v>25</v>
      </c>
      <c r="Z11" s="1028" t="s">
        <v>613</v>
      </c>
      <c r="AA11" s="1029"/>
      <c r="AB11" s="357">
        <v>0.26819999999999999</v>
      </c>
    </row>
    <row r="12" spans="1:28" ht="30" customHeight="1" x14ac:dyDescent="0.25">
      <c r="A12" s="491" t="s">
        <v>14</v>
      </c>
      <c r="B12" s="1010" t="s">
        <v>939</v>
      </c>
      <c r="C12" s="1010"/>
      <c r="D12" s="1010"/>
      <c r="E12" s="1010"/>
      <c r="G12" s="225"/>
      <c r="H12" s="225" t="s">
        <v>7</v>
      </c>
      <c r="Z12" s="1028" t="s">
        <v>614</v>
      </c>
      <c r="AA12" s="1029"/>
      <c r="AB12" s="357">
        <v>1.18E-2</v>
      </c>
    </row>
    <row r="13" spans="1:28" ht="30" customHeight="1" x14ac:dyDescent="0.25">
      <c r="A13" s="491" t="s">
        <v>3</v>
      </c>
      <c r="B13" s="1011" t="s">
        <v>943</v>
      </c>
      <c r="C13" s="1011"/>
      <c r="D13" s="1011"/>
      <c r="E13" s="1011"/>
      <c r="Z13" s="1028" t="s">
        <v>615</v>
      </c>
      <c r="AA13" s="1029"/>
      <c r="AB13" s="358">
        <v>0.36854545454545451</v>
      </c>
    </row>
    <row r="14" spans="1:28" ht="30" customHeight="1" x14ac:dyDescent="0.25">
      <c r="A14" s="491" t="s">
        <v>15</v>
      </c>
      <c r="B14" s="1010"/>
      <c r="C14" s="1010"/>
      <c r="D14" s="1010"/>
      <c r="E14" s="1010"/>
      <c r="Z14" s="1028" t="s">
        <v>616</v>
      </c>
      <c r="AA14" s="1029"/>
      <c r="AB14" s="357">
        <v>0.26819999999999999</v>
      </c>
    </row>
    <row r="15" spans="1:28" ht="30" customHeight="1" x14ac:dyDescent="0.25">
      <c r="A15" s="491" t="s">
        <v>4</v>
      </c>
      <c r="B15" s="1010">
        <v>2020</v>
      </c>
      <c r="C15" s="1010"/>
      <c r="D15" s="1010"/>
      <c r="E15" s="1010"/>
      <c r="F15" s="33"/>
      <c r="Z15" s="1028" t="s">
        <v>578</v>
      </c>
      <c r="AA15" s="1029"/>
      <c r="AB15" s="357">
        <v>0.27700000000000002</v>
      </c>
    </row>
    <row r="16" spans="1:28" ht="30" customHeight="1" x14ac:dyDescent="0.25">
      <c r="A16" s="491" t="s">
        <v>5</v>
      </c>
      <c r="B16" s="1010">
        <v>2021</v>
      </c>
      <c r="C16" s="1010"/>
      <c r="D16" s="1010"/>
      <c r="E16" s="1010"/>
      <c r="F16" s="33"/>
      <c r="Z16" s="1028" t="s">
        <v>579</v>
      </c>
      <c r="AA16" s="1029"/>
      <c r="AB16" s="357">
        <v>0.20269999999999999</v>
      </c>
    </row>
    <row r="17" spans="1:9" ht="30" customHeight="1" x14ac:dyDescent="0.25">
      <c r="A17" s="491" t="s">
        <v>6</v>
      </c>
      <c r="B17" s="1000">
        <f>G11</f>
        <v>2000</v>
      </c>
      <c r="C17" s="1000"/>
      <c r="D17" s="1000"/>
      <c r="E17" s="1000"/>
      <c r="F17" s="34"/>
    </row>
    <row r="18" spans="1:9" ht="30" customHeight="1" x14ac:dyDescent="0.25">
      <c r="A18" s="491"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491" t="s">
        <v>8</v>
      </c>
      <c r="B21" s="1000">
        <v>1</v>
      </c>
      <c r="C21" s="1000"/>
      <c r="D21" s="1000"/>
      <c r="E21" s="1000"/>
      <c r="F21" s="33"/>
    </row>
    <row r="22" spans="1:9" ht="30" customHeight="1" x14ac:dyDescent="0.25">
      <c r="A22" s="491" t="s">
        <v>9</v>
      </c>
      <c r="B22" s="1000"/>
      <c r="C22" s="1000"/>
      <c r="D22" s="1000"/>
      <c r="E22" s="1000"/>
      <c r="F22" s="37"/>
    </row>
    <row r="23" spans="1:9" ht="30" customHeight="1" x14ac:dyDescent="0.25">
      <c r="A23" s="491" t="s">
        <v>301</v>
      </c>
      <c r="B23" s="1016">
        <f>B17/(B21+B22)</f>
        <v>2000</v>
      </c>
      <c r="C23" s="1016"/>
      <c r="D23" s="1016"/>
      <c r="E23" s="1016"/>
      <c r="F23" s="37"/>
    </row>
    <row r="24" spans="1:9" ht="30" customHeight="1" x14ac:dyDescent="0.25">
      <c r="A24" s="491" t="s">
        <v>302</v>
      </c>
      <c r="B24" s="1017">
        <f>(B17-B18)/(B21+B22)</f>
        <v>2000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479"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311" priority="1" operator="containsText" text="Terminé">
      <formula>NOT(ISERROR(SEARCH("Terminé",B5)))</formula>
    </cfRule>
    <cfRule type="containsText" dxfId="310" priority="2" operator="containsText" text="En cours">
      <formula>NOT(ISERROR(SEARCH("En cours",B5)))</formula>
    </cfRule>
    <cfRule type="containsText" dxfId="30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69"/>
  <sheetViews>
    <sheetView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869</v>
      </c>
      <c r="C2" s="1002"/>
      <c r="D2" s="1002"/>
      <c r="E2" s="1002"/>
      <c r="F2" s="7"/>
      <c r="G2" s="986" t="s">
        <v>751</v>
      </c>
      <c r="H2" s="986"/>
    </row>
    <row r="3" spans="1:28" ht="19.5" customHeight="1" x14ac:dyDescent="0.25">
      <c r="A3" s="483" t="s">
        <v>743</v>
      </c>
      <c r="B3" s="987" t="s">
        <v>434</v>
      </c>
      <c r="C3" s="987"/>
      <c r="D3" s="987"/>
      <c r="E3" s="987"/>
      <c r="F3" s="7"/>
      <c r="G3" s="986" t="s">
        <v>752</v>
      </c>
      <c r="H3" s="986"/>
    </row>
    <row r="4" spans="1:28" ht="19.5" customHeight="1" x14ac:dyDescent="0.25">
      <c r="A4" s="482" t="s">
        <v>292</v>
      </c>
      <c r="B4" s="996" t="s">
        <v>380</v>
      </c>
      <c r="C4" s="996"/>
      <c r="D4" s="996"/>
      <c r="E4" s="996"/>
      <c r="F4" s="7"/>
      <c r="G4" s="986" t="s">
        <v>753</v>
      </c>
      <c r="H4" s="986"/>
    </row>
    <row r="5" spans="1:28" ht="19.5" customHeight="1" x14ac:dyDescent="0.25">
      <c r="A5" s="482" t="s">
        <v>16</v>
      </c>
      <c r="B5" s="1015" t="s">
        <v>20</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87"/>
      <c r="J7" s="487"/>
      <c r="Z7" s="484"/>
      <c r="AA7" s="485"/>
      <c r="AB7" s="357"/>
    </row>
    <row r="8" spans="1:28" ht="24" customHeight="1" x14ac:dyDescent="0.25">
      <c r="A8" s="491" t="s">
        <v>1</v>
      </c>
      <c r="B8" s="967"/>
      <c r="C8" s="967"/>
      <c r="D8" s="967"/>
      <c r="E8" s="967"/>
      <c r="G8" s="997" t="s">
        <v>936</v>
      </c>
      <c r="Z8" s="1028" t="s">
        <v>611</v>
      </c>
      <c r="AA8" s="1029"/>
      <c r="AB8" s="357">
        <v>0.26819999999999999</v>
      </c>
    </row>
    <row r="9" spans="1:28" ht="24" customHeight="1" x14ac:dyDescent="0.25">
      <c r="A9" s="491" t="s">
        <v>0</v>
      </c>
      <c r="B9" s="996"/>
      <c r="C9" s="996"/>
      <c r="D9" s="996"/>
      <c r="E9" s="996"/>
      <c r="G9" s="997"/>
      <c r="Z9" s="1028" t="s">
        <v>612</v>
      </c>
      <c r="AA9" s="1029"/>
      <c r="AB9" s="357">
        <v>3.1300000000000001E-2</v>
      </c>
    </row>
    <row r="10" spans="1:28" ht="137.25" customHeight="1" x14ac:dyDescent="0.25">
      <c r="A10" s="491" t="s">
        <v>2</v>
      </c>
      <c r="B10" s="1065"/>
      <c r="C10" s="1066"/>
      <c r="D10" s="1066"/>
      <c r="E10" s="1066"/>
      <c r="G10" s="997"/>
      <c r="H10" s="7"/>
      <c r="Z10" s="1028"/>
      <c r="AA10" s="1029"/>
      <c r="AB10" s="357"/>
    </row>
    <row r="11" spans="1:28" ht="25.5" customHeight="1" x14ac:dyDescent="0.25">
      <c r="A11" s="491" t="s">
        <v>29</v>
      </c>
      <c r="B11" s="1031"/>
      <c r="C11" s="1032"/>
      <c r="D11" s="1032"/>
      <c r="E11" s="1033"/>
      <c r="G11" s="225"/>
      <c r="H11" s="225" t="s">
        <v>25</v>
      </c>
      <c r="Z11" s="1028" t="s">
        <v>613</v>
      </c>
      <c r="AA11" s="1029"/>
      <c r="AB11" s="357">
        <v>0.26819999999999999</v>
      </c>
    </row>
    <row r="12" spans="1:28" ht="30" customHeight="1" x14ac:dyDescent="0.25">
      <c r="A12" s="491" t="s">
        <v>14</v>
      </c>
      <c r="B12" s="1010"/>
      <c r="C12" s="1010"/>
      <c r="D12" s="1010"/>
      <c r="E12" s="1010"/>
      <c r="G12" s="225"/>
      <c r="H12" s="225" t="s">
        <v>7</v>
      </c>
      <c r="Z12" s="1028" t="s">
        <v>614</v>
      </c>
      <c r="AA12" s="1029"/>
      <c r="AB12" s="357">
        <v>1.18E-2</v>
      </c>
    </row>
    <row r="13" spans="1:28" ht="30" customHeight="1" x14ac:dyDescent="0.25">
      <c r="A13" s="491" t="s">
        <v>3</v>
      </c>
      <c r="B13" s="1011"/>
      <c r="C13" s="1011"/>
      <c r="D13" s="1011"/>
      <c r="E13" s="1011"/>
      <c r="Z13" s="1028" t="s">
        <v>615</v>
      </c>
      <c r="AA13" s="1029"/>
      <c r="AB13" s="358">
        <v>0.36854545454545451</v>
      </c>
    </row>
    <row r="14" spans="1:28" ht="30" customHeight="1" x14ac:dyDescent="0.25">
      <c r="A14" s="491" t="s">
        <v>15</v>
      </c>
      <c r="B14" s="1010"/>
      <c r="C14" s="1010"/>
      <c r="D14" s="1010"/>
      <c r="E14" s="1010"/>
      <c r="Z14" s="1028" t="s">
        <v>616</v>
      </c>
      <c r="AA14" s="1029"/>
      <c r="AB14" s="357">
        <v>0.26819999999999999</v>
      </c>
    </row>
    <row r="15" spans="1:28" ht="30" customHeight="1" x14ac:dyDescent="0.25">
      <c r="A15" s="491" t="s">
        <v>4</v>
      </c>
      <c r="B15" s="1010"/>
      <c r="C15" s="1010"/>
      <c r="D15" s="1010"/>
      <c r="E15" s="1010"/>
      <c r="F15" s="33"/>
      <c r="Z15" s="1028" t="s">
        <v>578</v>
      </c>
      <c r="AA15" s="1029"/>
      <c r="AB15" s="357">
        <v>0.27700000000000002</v>
      </c>
    </row>
    <row r="16" spans="1:28" ht="30" customHeight="1" x14ac:dyDescent="0.25">
      <c r="A16" s="491" t="s">
        <v>5</v>
      </c>
      <c r="B16" s="1010"/>
      <c r="C16" s="1010"/>
      <c r="D16" s="1010"/>
      <c r="E16" s="1010"/>
      <c r="F16" s="33"/>
      <c r="Z16" s="1028" t="s">
        <v>579</v>
      </c>
      <c r="AA16" s="1029"/>
      <c r="AB16" s="357">
        <v>0.20269999999999999</v>
      </c>
    </row>
    <row r="17" spans="1:9" ht="30" customHeight="1" x14ac:dyDescent="0.25">
      <c r="A17" s="491" t="s">
        <v>6</v>
      </c>
      <c r="B17" s="1000">
        <f>G11</f>
        <v>0</v>
      </c>
      <c r="C17" s="1000"/>
      <c r="D17" s="1000"/>
      <c r="E17" s="1000"/>
      <c r="F17" s="34"/>
    </row>
    <row r="18" spans="1:9" ht="30" customHeight="1" x14ac:dyDescent="0.25">
      <c r="A18" s="491"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491" t="s">
        <v>8</v>
      </c>
      <c r="B21" s="1000">
        <v>1</v>
      </c>
      <c r="C21" s="1000"/>
      <c r="D21" s="1000"/>
      <c r="E21" s="1000"/>
      <c r="F21" s="33"/>
    </row>
    <row r="22" spans="1:9" ht="30" customHeight="1" x14ac:dyDescent="0.25">
      <c r="A22" s="491" t="s">
        <v>9</v>
      </c>
      <c r="B22" s="1000"/>
      <c r="C22" s="1000"/>
      <c r="D22" s="1000"/>
      <c r="E22" s="1000"/>
      <c r="F22" s="37"/>
    </row>
    <row r="23" spans="1:9" ht="30" customHeight="1" x14ac:dyDescent="0.25">
      <c r="A23" s="491" t="s">
        <v>301</v>
      </c>
      <c r="B23" s="1016">
        <f>B17/(B21+B22)</f>
        <v>0</v>
      </c>
      <c r="C23" s="1016"/>
      <c r="D23" s="1016"/>
      <c r="E23" s="1016"/>
      <c r="F23" s="37"/>
    </row>
    <row r="24" spans="1:9" ht="30" customHeight="1" x14ac:dyDescent="0.25">
      <c r="A24" s="491" t="s">
        <v>302</v>
      </c>
      <c r="B24" s="1017">
        <f>(B17-B18)/(B21+B22)</f>
        <v>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479"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308" priority="1" operator="containsText" text="Terminé">
      <formula>NOT(ISERROR(SEARCH("Terminé",B5)))</formula>
    </cfRule>
    <cfRule type="containsText" dxfId="307" priority="2" operator="containsText" text="En cours">
      <formula>NOT(ISERROR(SEARCH("En cours",B5)))</formula>
    </cfRule>
    <cfRule type="containsText" dxfId="30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workbookViewId="0">
      <selection activeCell="B5" sqref="B5:E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870</v>
      </c>
      <c r="C2" s="1002"/>
      <c r="D2" s="1002"/>
      <c r="E2" s="1002"/>
      <c r="F2" s="7"/>
      <c r="G2" s="986" t="s">
        <v>751</v>
      </c>
      <c r="H2" s="986"/>
    </row>
    <row r="3" spans="1:28" ht="19.5" customHeight="1" x14ac:dyDescent="0.25">
      <c r="A3" s="483" t="s">
        <v>743</v>
      </c>
      <c r="B3" s="987" t="s">
        <v>434</v>
      </c>
      <c r="C3" s="987"/>
      <c r="D3" s="987"/>
      <c r="E3" s="987"/>
      <c r="F3" s="7"/>
      <c r="G3" s="986" t="s">
        <v>752</v>
      </c>
      <c r="H3" s="986"/>
    </row>
    <row r="4" spans="1:28" ht="19.5" customHeight="1" x14ac:dyDescent="0.25">
      <c r="A4" s="482" t="s">
        <v>292</v>
      </c>
      <c r="B4" s="996" t="s">
        <v>380</v>
      </c>
      <c r="C4" s="996"/>
      <c r="D4" s="996"/>
      <c r="E4" s="996"/>
      <c r="F4" s="7"/>
      <c r="G4" s="986" t="s">
        <v>753</v>
      </c>
      <c r="H4" s="986"/>
    </row>
    <row r="5" spans="1:28" ht="19.5" customHeight="1" x14ac:dyDescent="0.25">
      <c r="A5" s="482"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87"/>
      <c r="J7" s="487"/>
      <c r="Z7" s="484"/>
      <c r="AA7" s="485"/>
      <c r="AB7" s="357"/>
    </row>
    <row r="8" spans="1:28" ht="24" customHeight="1" x14ac:dyDescent="0.25">
      <c r="A8" s="491" t="s">
        <v>1</v>
      </c>
      <c r="B8" s="967" t="s">
        <v>31</v>
      </c>
      <c r="C8" s="967"/>
      <c r="D8" s="967"/>
      <c r="E8" s="967"/>
      <c r="G8" s="997" t="s">
        <v>936</v>
      </c>
      <c r="Z8" s="1028" t="s">
        <v>611</v>
      </c>
      <c r="AA8" s="1029"/>
      <c r="AB8" s="357">
        <v>0.26819999999999999</v>
      </c>
    </row>
    <row r="9" spans="1:28" ht="24" customHeight="1" x14ac:dyDescent="0.25">
      <c r="A9" s="491" t="s">
        <v>0</v>
      </c>
      <c r="B9" s="967" t="s">
        <v>892</v>
      </c>
      <c r="C9" s="967"/>
      <c r="D9" s="967"/>
      <c r="E9" s="967"/>
      <c r="G9" s="997"/>
      <c r="Z9" s="1028" t="s">
        <v>612</v>
      </c>
      <c r="AA9" s="1029"/>
      <c r="AB9" s="357">
        <v>3.1300000000000001E-2</v>
      </c>
    </row>
    <row r="10" spans="1:28" ht="187.5" customHeight="1" x14ac:dyDescent="0.25">
      <c r="A10" s="491" t="s">
        <v>2</v>
      </c>
      <c r="B10" s="1034" t="s">
        <v>1323</v>
      </c>
      <c r="C10" s="1034"/>
      <c r="D10" s="1034"/>
      <c r="E10" s="1034"/>
      <c r="G10" s="997"/>
      <c r="H10" s="7"/>
      <c r="Z10" s="1028"/>
      <c r="AA10" s="1029"/>
      <c r="AB10" s="357"/>
    </row>
    <row r="11" spans="1:28" ht="20.25" customHeight="1" x14ac:dyDescent="0.25">
      <c r="A11" s="491" t="s">
        <v>29</v>
      </c>
      <c r="B11" s="1031" t="s">
        <v>1102</v>
      </c>
      <c r="C11" s="1032"/>
      <c r="D11" s="1032"/>
      <c r="E11" s="1033"/>
      <c r="G11" s="225">
        <v>27000</v>
      </c>
      <c r="H11" s="225" t="s">
        <v>25</v>
      </c>
      <c r="Z11" s="1028" t="s">
        <v>613</v>
      </c>
      <c r="AA11" s="1029"/>
      <c r="AB11" s="357">
        <v>0.26819999999999999</v>
      </c>
    </row>
    <row r="12" spans="1:28" ht="30" customHeight="1" x14ac:dyDescent="0.25">
      <c r="A12" s="491" t="s">
        <v>14</v>
      </c>
      <c r="B12" s="1010" t="s">
        <v>939</v>
      </c>
      <c r="C12" s="1010"/>
      <c r="D12" s="1010"/>
      <c r="E12" s="1010"/>
      <c r="G12" s="225"/>
      <c r="H12" s="225" t="s">
        <v>7</v>
      </c>
      <c r="Z12" s="1028" t="s">
        <v>614</v>
      </c>
      <c r="AA12" s="1029"/>
      <c r="AB12" s="357">
        <v>1.18E-2</v>
      </c>
    </row>
    <row r="13" spans="1:28" ht="30" customHeight="1" x14ac:dyDescent="0.25">
      <c r="A13" s="491" t="s">
        <v>3</v>
      </c>
      <c r="B13" s="1011" t="s">
        <v>943</v>
      </c>
      <c r="C13" s="1011"/>
      <c r="D13" s="1011"/>
      <c r="E13" s="1011"/>
      <c r="G13" s="486" t="s">
        <v>249</v>
      </c>
      <c r="H13" s="486" t="s">
        <v>250</v>
      </c>
      <c r="Z13" s="1028" t="s">
        <v>615</v>
      </c>
      <c r="AA13" s="1029"/>
      <c r="AB13" s="358">
        <v>0.36854545454545451</v>
      </c>
    </row>
    <row r="14" spans="1:28" ht="30" customHeight="1" x14ac:dyDescent="0.25">
      <c r="A14" s="491" t="s">
        <v>15</v>
      </c>
      <c r="B14" s="1010"/>
      <c r="C14" s="1010"/>
      <c r="D14" s="1010"/>
      <c r="E14" s="1010"/>
      <c r="G14" s="486">
        <v>200</v>
      </c>
      <c r="H14" s="486"/>
      <c r="Z14" s="1028" t="s">
        <v>616</v>
      </c>
      <c r="AA14" s="1029"/>
      <c r="AB14" s="357">
        <v>0.26819999999999999</v>
      </c>
    </row>
    <row r="15" spans="1:28" ht="30" customHeight="1" x14ac:dyDescent="0.25">
      <c r="A15" s="491" t="s">
        <v>4</v>
      </c>
      <c r="B15" s="1010">
        <v>2021</v>
      </c>
      <c r="C15" s="1010"/>
      <c r="D15" s="1010"/>
      <c r="E15" s="1010"/>
      <c r="F15" s="33"/>
      <c r="Z15" s="1028" t="s">
        <v>578</v>
      </c>
      <c r="AA15" s="1029"/>
      <c r="AB15" s="357">
        <v>0.27700000000000002</v>
      </c>
    </row>
    <row r="16" spans="1:28" ht="30" customHeight="1" x14ac:dyDescent="0.25">
      <c r="A16" s="491" t="s">
        <v>5</v>
      </c>
      <c r="B16" s="1010">
        <v>2023</v>
      </c>
      <c r="C16" s="1010"/>
      <c r="D16" s="1010"/>
      <c r="E16" s="1010"/>
      <c r="F16" s="33"/>
      <c r="Z16" s="1028" t="s">
        <v>579</v>
      </c>
      <c r="AA16" s="1029"/>
      <c r="AB16" s="357">
        <v>0.20269999999999999</v>
      </c>
    </row>
    <row r="17" spans="1:9" ht="30" customHeight="1" x14ac:dyDescent="0.25">
      <c r="A17" s="491" t="s">
        <v>6</v>
      </c>
      <c r="B17" s="1000">
        <f>G11</f>
        <v>27000</v>
      </c>
      <c r="C17" s="1000"/>
      <c r="D17" s="1000"/>
      <c r="E17" s="1000"/>
      <c r="F17" s="34"/>
    </row>
    <row r="18" spans="1:9" ht="30" customHeight="1" x14ac:dyDescent="0.25">
      <c r="A18" s="491"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491" t="s">
        <v>8</v>
      </c>
      <c r="B21" s="1000">
        <v>1</v>
      </c>
      <c r="C21" s="1000"/>
      <c r="D21" s="1000"/>
      <c r="E21" s="1000"/>
      <c r="F21" s="33"/>
    </row>
    <row r="22" spans="1:9" ht="30" customHeight="1" x14ac:dyDescent="0.25">
      <c r="A22" s="491" t="s">
        <v>9</v>
      </c>
      <c r="B22" s="1000"/>
      <c r="C22" s="1000"/>
      <c r="D22" s="1000"/>
      <c r="E22" s="1000"/>
      <c r="F22" s="37"/>
    </row>
    <row r="23" spans="1:9" ht="30" customHeight="1" x14ac:dyDescent="0.25">
      <c r="A23" s="491" t="s">
        <v>301</v>
      </c>
      <c r="B23" s="1016">
        <f>B17/(B21+B22)</f>
        <v>27000</v>
      </c>
      <c r="C23" s="1016"/>
      <c r="D23" s="1016"/>
      <c r="E23" s="1016"/>
      <c r="F23" s="37"/>
    </row>
    <row r="24" spans="1:9" ht="30" customHeight="1" x14ac:dyDescent="0.25">
      <c r="A24" s="491" t="s">
        <v>302</v>
      </c>
      <c r="B24" s="1017">
        <f>(B17-B18)/(B21+B22)</f>
        <v>27000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479"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305" priority="1" operator="containsText" text="Terminé">
      <formula>NOT(ISERROR(SEARCH("Terminé",B5)))</formula>
    </cfRule>
    <cfRule type="containsText" dxfId="304" priority="2" operator="containsText" text="En cours">
      <formula>NOT(ISERROR(SEARCH("En cours",B5)))</formula>
    </cfRule>
    <cfRule type="containsText" dxfId="30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69"/>
  <sheetViews>
    <sheetView topLeftCell="A4" workbookViewId="0">
      <selection activeCell="G3" sqref="G3:H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871</v>
      </c>
      <c r="C2" s="1002"/>
      <c r="D2" s="1002"/>
      <c r="E2" s="1002"/>
      <c r="F2" s="7"/>
      <c r="G2" s="986" t="s">
        <v>751</v>
      </c>
      <c r="H2" s="986"/>
    </row>
    <row r="3" spans="1:28" ht="19.5" customHeight="1" x14ac:dyDescent="0.25">
      <c r="A3" s="483" t="s">
        <v>743</v>
      </c>
      <c r="B3" s="987" t="s">
        <v>434</v>
      </c>
      <c r="C3" s="987"/>
      <c r="D3" s="987"/>
      <c r="E3" s="987"/>
      <c r="F3" s="7"/>
      <c r="G3" s="986" t="s">
        <v>752</v>
      </c>
      <c r="H3" s="986"/>
    </row>
    <row r="4" spans="1:28" ht="19.5" customHeight="1" x14ac:dyDescent="0.25">
      <c r="A4" s="482" t="s">
        <v>292</v>
      </c>
      <c r="B4" s="996" t="s">
        <v>380</v>
      </c>
      <c r="C4" s="996"/>
      <c r="D4" s="996"/>
      <c r="E4" s="996"/>
      <c r="F4" s="7"/>
      <c r="G4" s="986" t="s">
        <v>753</v>
      </c>
      <c r="H4" s="986"/>
    </row>
    <row r="5" spans="1:28" ht="19.5" customHeight="1" x14ac:dyDescent="0.25">
      <c r="A5" s="482" t="s">
        <v>16</v>
      </c>
      <c r="B5" s="1015" t="s">
        <v>41</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487"/>
      <c r="J7" s="487"/>
      <c r="Z7" s="484"/>
      <c r="AA7" s="485"/>
      <c r="AB7" s="357"/>
    </row>
    <row r="8" spans="1:28" ht="24" customHeight="1" x14ac:dyDescent="0.25">
      <c r="A8" s="491" t="s">
        <v>1</v>
      </c>
      <c r="B8" s="996" t="s">
        <v>893</v>
      </c>
      <c r="C8" s="996"/>
      <c r="D8" s="996"/>
      <c r="E8" s="996"/>
      <c r="G8" s="997" t="s">
        <v>936</v>
      </c>
      <c r="Z8" s="1028" t="s">
        <v>611</v>
      </c>
      <c r="AA8" s="1029"/>
      <c r="AB8" s="357">
        <v>0.26819999999999999</v>
      </c>
    </row>
    <row r="9" spans="1:28" ht="24" customHeight="1" x14ac:dyDescent="0.25">
      <c r="A9" s="491" t="s">
        <v>0</v>
      </c>
      <c r="B9" s="996" t="s">
        <v>894</v>
      </c>
      <c r="C9" s="996"/>
      <c r="D9" s="996"/>
      <c r="E9" s="996"/>
      <c r="G9" s="997"/>
      <c r="Z9" s="1028" t="s">
        <v>612</v>
      </c>
      <c r="AA9" s="1029"/>
      <c r="AB9" s="357">
        <v>3.1300000000000001E-2</v>
      </c>
    </row>
    <row r="10" spans="1:28" ht="90" customHeight="1" x14ac:dyDescent="0.25">
      <c r="A10" s="491" t="s">
        <v>2</v>
      </c>
      <c r="B10" s="1008" t="s">
        <v>1100</v>
      </c>
      <c r="C10" s="1009"/>
      <c r="D10" s="1009"/>
      <c r="E10" s="1009"/>
      <c r="G10" s="997"/>
      <c r="H10" s="7"/>
      <c r="Z10" s="1028"/>
      <c r="AA10" s="1029"/>
      <c r="AB10" s="357"/>
    </row>
    <row r="11" spans="1:28" ht="54" customHeight="1" x14ac:dyDescent="0.25">
      <c r="A11" s="491" t="s">
        <v>29</v>
      </c>
      <c r="B11" s="1031" t="s">
        <v>895</v>
      </c>
      <c r="C11" s="1032"/>
      <c r="D11" s="1032"/>
      <c r="E11" s="1033"/>
      <c r="G11" s="225">
        <v>5000</v>
      </c>
      <c r="H11" s="225" t="s">
        <v>25</v>
      </c>
      <c r="Z11" s="1028" t="s">
        <v>613</v>
      </c>
      <c r="AA11" s="1029"/>
      <c r="AB11" s="357">
        <v>0.26819999999999999</v>
      </c>
    </row>
    <row r="12" spans="1:28" ht="30" customHeight="1" x14ac:dyDescent="0.25">
      <c r="A12" s="491" t="s">
        <v>14</v>
      </c>
      <c r="B12" s="1010" t="s">
        <v>939</v>
      </c>
      <c r="C12" s="1010"/>
      <c r="D12" s="1010"/>
      <c r="E12" s="1010"/>
      <c r="G12" s="225"/>
      <c r="H12" s="225" t="s">
        <v>7</v>
      </c>
      <c r="Z12" s="1028" t="s">
        <v>614</v>
      </c>
      <c r="AA12" s="1029"/>
      <c r="AB12" s="357">
        <v>1.18E-2</v>
      </c>
    </row>
    <row r="13" spans="1:28" ht="30" customHeight="1" x14ac:dyDescent="0.25">
      <c r="A13" s="491" t="s">
        <v>3</v>
      </c>
      <c r="B13" s="1011" t="s">
        <v>943</v>
      </c>
      <c r="C13" s="1011"/>
      <c r="D13" s="1011"/>
      <c r="E13" s="1011"/>
      <c r="Z13" s="1028" t="s">
        <v>615</v>
      </c>
      <c r="AA13" s="1029"/>
      <c r="AB13" s="358">
        <v>0.36854545454545451</v>
      </c>
    </row>
    <row r="14" spans="1:28" ht="30" customHeight="1" x14ac:dyDescent="0.25">
      <c r="A14" s="491" t="s">
        <v>15</v>
      </c>
      <c r="B14" s="1010" t="s">
        <v>1101</v>
      </c>
      <c r="C14" s="1010"/>
      <c r="D14" s="1010"/>
      <c r="E14" s="1010"/>
      <c r="Z14" s="1028" t="s">
        <v>616</v>
      </c>
      <c r="AA14" s="1029"/>
      <c r="AB14" s="357">
        <v>0.26819999999999999</v>
      </c>
    </row>
    <row r="15" spans="1:28" ht="30" customHeight="1" x14ac:dyDescent="0.25">
      <c r="A15" s="491" t="s">
        <v>4</v>
      </c>
      <c r="B15" s="1010">
        <v>2020</v>
      </c>
      <c r="C15" s="1010"/>
      <c r="D15" s="1010"/>
      <c r="E15" s="1010"/>
      <c r="F15" s="33"/>
      <c r="Z15" s="1028" t="s">
        <v>578</v>
      </c>
      <c r="AA15" s="1029"/>
      <c r="AB15" s="357">
        <v>0.27700000000000002</v>
      </c>
    </row>
    <row r="16" spans="1:28" ht="30" customHeight="1" x14ac:dyDescent="0.25">
      <c r="A16" s="491" t="s">
        <v>5</v>
      </c>
      <c r="B16" s="1010">
        <v>2025</v>
      </c>
      <c r="C16" s="1010"/>
      <c r="D16" s="1010"/>
      <c r="E16" s="1010"/>
      <c r="F16" s="33"/>
      <c r="Z16" s="1028" t="s">
        <v>579</v>
      </c>
      <c r="AA16" s="1029"/>
      <c r="AB16" s="357">
        <v>0.20269999999999999</v>
      </c>
    </row>
    <row r="17" spans="1:9" ht="30" customHeight="1" x14ac:dyDescent="0.25">
      <c r="A17" s="491" t="s">
        <v>6</v>
      </c>
      <c r="B17" s="1000">
        <f>G11</f>
        <v>5000</v>
      </c>
      <c r="C17" s="1000"/>
      <c r="D17" s="1000"/>
      <c r="E17" s="1000"/>
      <c r="F17" s="34"/>
    </row>
    <row r="18" spans="1:9" ht="30" customHeight="1" x14ac:dyDescent="0.25">
      <c r="A18" s="491"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491" t="s">
        <v>8</v>
      </c>
      <c r="B21" s="1000">
        <v>1</v>
      </c>
      <c r="C21" s="1000"/>
      <c r="D21" s="1000"/>
      <c r="E21" s="1000"/>
      <c r="F21" s="33"/>
    </row>
    <row r="22" spans="1:9" ht="30" customHeight="1" x14ac:dyDescent="0.25">
      <c r="A22" s="491" t="s">
        <v>9</v>
      </c>
      <c r="B22" s="1000"/>
      <c r="C22" s="1000"/>
      <c r="D22" s="1000"/>
      <c r="E22" s="1000"/>
      <c r="F22" s="37"/>
    </row>
    <row r="23" spans="1:9" ht="30" customHeight="1" x14ac:dyDescent="0.25">
      <c r="A23" s="491" t="s">
        <v>301</v>
      </c>
      <c r="B23" s="1016">
        <f>B17/(B21+B22)</f>
        <v>5000</v>
      </c>
      <c r="C23" s="1016"/>
      <c r="D23" s="1016"/>
      <c r="E23" s="1016"/>
      <c r="F23" s="37"/>
    </row>
    <row r="24" spans="1:9" ht="30" customHeight="1" x14ac:dyDescent="0.25">
      <c r="A24" s="491" t="s">
        <v>302</v>
      </c>
      <c r="B24" s="1017">
        <f>(B17-B18)/(B21+B22)</f>
        <v>5000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479"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t="s">
        <v>985</v>
      </c>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302" priority="1" operator="containsText" text="Terminé">
      <formula>NOT(ISERROR(SEARCH("Terminé",B5)))</formula>
    </cfRule>
    <cfRule type="containsText" dxfId="301" priority="2" operator="containsText" text="En cours">
      <formula>NOT(ISERROR(SEARCH("En cours",B5)))</formula>
    </cfRule>
    <cfRule type="containsText" dxfId="30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3"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987</v>
      </c>
      <c r="C2" s="1002"/>
      <c r="D2" s="1002"/>
      <c r="E2" s="1002"/>
      <c r="F2" s="7"/>
      <c r="G2" s="986" t="s">
        <v>751</v>
      </c>
      <c r="H2" s="986"/>
    </row>
    <row r="3" spans="1:28" ht="19.5" customHeight="1" x14ac:dyDescent="0.25">
      <c r="A3" s="566" t="s">
        <v>743</v>
      </c>
      <c r="B3" s="987" t="s">
        <v>434</v>
      </c>
      <c r="C3" s="987"/>
      <c r="D3" s="987"/>
      <c r="E3" s="987"/>
      <c r="F3" s="7"/>
      <c r="G3" s="986" t="s">
        <v>752</v>
      </c>
      <c r="H3" s="986"/>
    </row>
    <row r="4" spans="1:28" ht="19.5" customHeight="1" x14ac:dyDescent="0.25">
      <c r="A4" s="567" t="s">
        <v>292</v>
      </c>
      <c r="B4" s="996" t="s">
        <v>31</v>
      </c>
      <c r="C4" s="996"/>
      <c r="D4" s="996"/>
      <c r="E4" s="996"/>
      <c r="F4" s="7"/>
      <c r="G4" s="986" t="s">
        <v>753</v>
      </c>
      <c r="H4" s="986"/>
    </row>
    <row r="5" spans="1:28" ht="19.5" customHeight="1" x14ac:dyDescent="0.25">
      <c r="A5" s="567"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572"/>
      <c r="J7" s="572"/>
      <c r="Z7" s="569"/>
      <c r="AA7" s="570"/>
      <c r="AB7" s="357"/>
    </row>
    <row r="8" spans="1:28" ht="24" customHeight="1" x14ac:dyDescent="0.25">
      <c r="A8" s="574" t="s">
        <v>1</v>
      </c>
      <c r="B8" s="996" t="s">
        <v>988</v>
      </c>
      <c r="C8" s="996"/>
      <c r="D8" s="996"/>
      <c r="E8" s="996"/>
      <c r="G8" s="997" t="s">
        <v>936</v>
      </c>
      <c r="Z8" s="1028" t="s">
        <v>611</v>
      </c>
      <c r="AA8" s="1029"/>
      <c r="AB8" s="357">
        <v>0.26819999999999999</v>
      </c>
    </row>
    <row r="9" spans="1:28" ht="24" customHeight="1" x14ac:dyDescent="0.25">
      <c r="A9" s="574" t="s">
        <v>0</v>
      </c>
      <c r="B9" s="996" t="s">
        <v>989</v>
      </c>
      <c r="C9" s="996"/>
      <c r="D9" s="996"/>
      <c r="E9" s="996"/>
      <c r="G9" s="997"/>
      <c r="Z9" s="1028" t="s">
        <v>612</v>
      </c>
      <c r="AA9" s="1029"/>
      <c r="AB9" s="357">
        <v>3.1300000000000001E-2</v>
      </c>
    </row>
    <row r="10" spans="1:28" ht="90" customHeight="1" x14ac:dyDescent="0.25">
      <c r="A10" s="574" t="s">
        <v>2</v>
      </c>
      <c r="B10" s="1008" t="s">
        <v>991</v>
      </c>
      <c r="C10" s="1009"/>
      <c r="D10" s="1009"/>
      <c r="E10" s="1009"/>
      <c r="G10" s="997"/>
      <c r="H10" s="7"/>
      <c r="Z10" s="1028"/>
      <c r="AA10" s="1029"/>
      <c r="AB10" s="357"/>
    </row>
    <row r="11" spans="1:28" ht="54" customHeight="1" x14ac:dyDescent="0.25">
      <c r="A11" s="574" t="s">
        <v>29</v>
      </c>
      <c r="B11" s="1031"/>
      <c r="C11" s="1032"/>
      <c r="D11" s="1032"/>
      <c r="E11" s="1033"/>
      <c r="G11" s="254">
        <v>0</v>
      </c>
      <c r="H11" s="225" t="s">
        <v>25</v>
      </c>
      <c r="Z11" s="1028" t="s">
        <v>613</v>
      </c>
      <c r="AA11" s="1029"/>
      <c r="AB11" s="357">
        <v>0.26819999999999999</v>
      </c>
    </row>
    <row r="12" spans="1:28" ht="30" customHeight="1" x14ac:dyDescent="0.25">
      <c r="A12" s="574" t="s">
        <v>14</v>
      </c>
      <c r="B12" s="1010" t="s">
        <v>939</v>
      </c>
      <c r="C12" s="1010"/>
      <c r="D12" s="1010"/>
      <c r="E12" s="1010"/>
      <c r="G12" s="225"/>
      <c r="H12" s="225" t="s">
        <v>7</v>
      </c>
      <c r="Z12" s="1028" t="s">
        <v>614</v>
      </c>
      <c r="AA12" s="1029"/>
      <c r="AB12" s="357">
        <v>1.18E-2</v>
      </c>
    </row>
    <row r="13" spans="1:28" ht="30" customHeight="1" x14ac:dyDescent="0.25">
      <c r="A13" s="574" t="s">
        <v>3</v>
      </c>
      <c r="B13" s="1011" t="s">
        <v>943</v>
      </c>
      <c r="C13" s="1011"/>
      <c r="D13" s="1011"/>
      <c r="E13" s="1011"/>
      <c r="Z13" s="1028" t="s">
        <v>615</v>
      </c>
      <c r="AA13" s="1029"/>
      <c r="AB13" s="358">
        <v>0.36854545454545451</v>
      </c>
    </row>
    <row r="14" spans="1:28" ht="30" customHeight="1" x14ac:dyDescent="0.25">
      <c r="A14" s="574" t="s">
        <v>15</v>
      </c>
      <c r="B14" s="1010"/>
      <c r="C14" s="1010"/>
      <c r="D14" s="1010"/>
      <c r="E14" s="1010"/>
      <c r="Z14" s="1028" t="s">
        <v>616</v>
      </c>
      <c r="AA14" s="1029"/>
      <c r="AB14" s="357">
        <v>0.26819999999999999</v>
      </c>
    </row>
    <row r="15" spans="1:28" ht="30" customHeight="1" x14ac:dyDescent="0.25">
      <c r="A15" s="574" t="s">
        <v>4</v>
      </c>
      <c r="B15" s="1010">
        <v>2019</v>
      </c>
      <c r="C15" s="1010"/>
      <c r="D15" s="1010"/>
      <c r="E15" s="1010"/>
      <c r="F15" s="33"/>
      <c r="Z15" s="1028" t="s">
        <v>578</v>
      </c>
      <c r="AA15" s="1029"/>
      <c r="AB15" s="357">
        <v>0.27700000000000002</v>
      </c>
    </row>
    <row r="16" spans="1:28" ht="30" customHeight="1" x14ac:dyDescent="0.25">
      <c r="A16" s="574" t="s">
        <v>5</v>
      </c>
      <c r="B16" s="1010">
        <v>2020</v>
      </c>
      <c r="C16" s="1010"/>
      <c r="D16" s="1010"/>
      <c r="E16" s="1010"/>
      <c r="F16" s="33"/>
      <c r="Z16" s="1028" t="s">
        <v>579</v>
      </c>
      <c r="AA16" s="1029"/>
      <c r="AB16" s="357">
        <v>0.20269999999999999</v>
      </c>
    </row>
    <row r="17" spans="1:9" ht="30" customHeight="1" x14ac:dyDescent="0.25">
      <c r="A17" s="574" t="s">
        <v>6</v>
      </c>
      <c r="B17" s="1000">
        <f>G11</f>
        <v>0</v>
      </c>
      <c r="C17" s="1000"/>
      <c r="D17" s="1000"/>
      <c r="E17" s="1000"/>
      <c r="F17" s="34"/>
    </row>
    <row r="18" spans="1:9" ht="30" customHeight="1" x14ac:dyDescent="0.25">
      <c r="A18" s="574"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574" t="s">
        <v>8</v>
      </c>
      <c r="B21" s="1000">
        <v>1</v>
      </c>
      <c r="C21" s="1000"/>
      <c r="D21" s="1000"/>
      <c r="E21" s="1000"/>
      <c r="F21" s="33"/>
    </row>
    <row r="22" spans="1:9" ht="30" customHeight="1" x14ac:dyDescent="0.25">
      <c r="A22" s="574" t="s">
        <v>9</v>
      </c>
      <c r="B22" s="1000"/>
      <c r="C22" s="1000"/>
      <c r="D22" s="1000"/>
      <c r="E22" s="1000"/>
      <c r="F22" s="37"/>
    </row>
    <row r="23" spans="1:9" ht="30" customHeight="1" x14ac:dyDescent="0.25">
      <c r="A23" s="574" t="s">
        <v>301</v>
      </c>
      <c r="B23" s="1016">
        <f>B17/(B21+B22)</f>
        <v>0</v>
      </c>
      <c r="C23" s="1016"/>
      <c r="D23" s="1016"/>
      <c r="E23" s="1016"/>
      <c r="F23" s="37"/>
    </row>
    <row r="24" spans="1:9" ht="30" customHeight="1" x14ac:dyDescent="0.25">
      <c r="A24" s="574" t="s">
        <v>302</v>
      </c>
      <c r="B24" s="1017">
        <f>(B17-B18)/(B21+B22)</f>
        <v>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61"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t="s">
        <v>985</v>
      </c>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B5:E5"/>
    <mergeCell ref="G5:H5"/>
    <mergeCell ref="Z5:AB5"/>
    <mergeCell ref="B6:E6"/>
    <mergeCell ref="G6:H6"/>
    <mergeCell ref="Z6:AA6"/>
    <mergeCell ref="A1:E1"/>
    <mergeCell ref="B2:E2"/>
    <mergeCell ref="G2:H2"/>
    <mergeCell ref="B3:E3"/>
    <mergeCell ref="G3:H3"/>
    <mergeCell ref="B4:E4"/>
    <mergeCell ref="G4:H4"/>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17:E17"/>
    <mergeCell ref="B18:E18"/>
    <mergeCell ref="B19:E19"/>
    <mergeCell ref="B20:E20"/>
    <mergeCell ref="B21:E21"/>
    <mergeCell ref="B22:E22"/>
    <mergeCell ref="B14:E14"/>
    <mergeCell ref="Z14:AA14"/>
    <mergeCell ref="B15:E15"/>
    <mergeCell ref="Z15:AA15"/>
    <mergeCell ref="B16:E16"/>
    <mergeCell ref="Z16:AA16"/>
    <mergeCell ref="B29:E29"/>
    <mergeCell ref="B31:D31"/>
    <mergeCell ref="B32:D32"/>
    <mergeCell ref="G32:I32"/>
    <mergeCell ref="B33:D33"/>
    <mergeCell ref="H33:I33"/>
    <mergeCell ref="B23:E23"/>
    <mergeCell ref="B24:E24"/>
    <mergeCell ref="B25:E25"/>
    <mergeCell ref="B26:E26"/>
    <mergeCell ref="B27:E27"/>
    <mergeCell ref="B28:E28"/>
    <mergeCell ref="B38:D38"/>
    <mergeCell ref="B39:D39"/>
    <mergeCell ref="B40:D40"/>
    <mergeCell ref="G40:I40"/>
    <mergeCell ref="B41:D41"/>
    <mergeCell ref="B42:D42"/>
    <mergeCell ref="B34:D34"/>
    <mergeCell ref="H34:I34"/>
    <mergeCell ref="B35:D35"/>
    <mergeCell ref="H35:I35"/>
    <mergeCell ref="B36:D36"/>
    <mergeCell ref="B37:D37"/>
    <mergeCell ref="B44:D44"/>
    <mergeCell ref="G46:L46"/>
    <mergeCell ref="A47:A51"/>
    <mergeCell ref="B47:F47"/>
    <mergeCell ref="G47:L47"/>
    <mergeCell ref="B48:F48"/>
    <mergeCell ref="G48:L48"/>
    <mergeCell ref="B49:F49"/>
    <mergeCell ref="G49:L49"/>
    <mergeCell ref="B50:F50"/>
    <mergeCell ref="G50:L50"/>
    <mergeCell ref="B51:F51"/>
    <mergeCell ref="G51:L51"/>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s>
  <conditionalFormatting sqref="B5">
    <cfRule type="containsText" dxfId="299" priority="1" operator="containsText" text="Terminé">
      <formula>NOT(ISERROR(SEARCH("Terminé",B5)))</formula>
    </cfRule>
    <cfRule type="containsText" dxfId="298" priority="2" operator="containsText" text="En cours">
      <formula>NOT(ISERROR(SEARCH("En cours",B5)))</formula>
    </cfRule>
    <cfRule type="containsText" dxfId="29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7"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990</v>
      </c>
      <c r="C2" s="1002"/>
      <c r="D2" s="1002"/>
      <c r="E2" s="1002"/>
      <c r="F2" s="7"/>
      <c r="G2" s="986" t="s">
        <v>751</v>
      </c>
      <c r="H2" s="986"/>
    </row>
    <row r="3" spans="1:28" ht="19.5" customHeight="1" x14ac:dyDescent="0.25">
      <c r="A3" s="566" t="s">
        <v>743</v>
      </c>
      <c r="B3" s="987" t="s">
        <v>434</v>
      </c>
      <c r="C3" s="987"/>
      <c r="D3" s="987"/>
      <c r="E3" s="987"/>
      <c r="F3" s="7"/>
      <c r="G3" s="986" t="s">
        <v>752</v>
      </c>
      <c r="H3" s="986"/>
    </row>
    <row r="4" spans="1:28" ht="19.5" customHeight="1" x14ac:dyDescent="0.25">
      <c r="A4" s="567" t="s">
        <v>292</v>
      </c>
      <c r="B4" s="996" t="s">
        <v>31</v>
      </c>
      <c r="C4" s="996"/>
      <c r="D4" s="996"/>
      <c r="E4" s="996"/>
      <c r="F4" s="7"/>
      <c r="G4" s="986" t="s">
        <v>753</v>
      </c>
      <c r="H4" s="986"/>
    </row>
    <row r="5" spans="1:28" ht="19.5" customHeight="1" x14ac:dyDescent="0.25">
      <c r="A5" s="567"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572"/>
      <c r="J7" s="572"/>
      <c r="Z7" s="569"/>
      <c r="AA7" s="570"/>
      <c r="AB7" s="357"/>
    </row>
    <row r="8" spans="1:28" ht="24" customHeight="1" x14ac:dyDescent="0.25">
      <c r="A8" s="574" t="s">
        <v>1</v>
      </c>
      <c r="B8" s="996" t="s">
        <v>32</v>
      </c>
      <c r="C8" s="996"/>
      <c r="D8" s="996"/>
      <c r="E8" s="996"/>
      <c r="G8" s="997" t="s">
        <v>936</v>
      </c>
      <c r="Z8" s="1028" t="s">
        <v>611</v>
      </c>
      <c r="AA8" s="1029"/>
      <c r="AB8" s="357">
        <v>0.26819999999999999</v>
      </c>
    </row>
    <row r="9" spans="1:28" ht="24" customHeight="1" x14ac:dyDescent="0.25">
      <c r="A9" s="574" t="s">
        <v>0</v>
      </c>
      <c r="B9" s="996" t="s">
        <v>992</v>
      </c>
      <c r="C9" s="996"/>
      <c r="D9" s="996"/>
      <c r="E9" s="996"/>
      <c r="G9" s="997"/>
      <c r="Z9" s="1028" t="s">
        <v>612</v>
      </c>
      <c r="AA9" s="1029"/>
      <c r="AB9" s="357">
        <v>3.1300000000000001E-2</v>
      </c>
    </row>
    <row r="10" spans="1:28" ht="90" customHeight="1" x14ac:dyDescent="0.25">
      <c r="A10" s="574" t="s">
        <v>2</v>
      </c>
      <c r="B10" s="1008" t="s">
        <v>1324</v>
      </c>
      <c r="C10" s="1009"/>
      <c r="D10" s="1009"/>
      <c r="E10" s="1009"/>
      <c r="G10" s="997"/>
      <c r="H10" s="7"/>
      <c r="Z10" s="1028"/>
      <c r="AA10" s="1029"/>
      <c r="AB10" s="357"/>
    </row>
    <row r="11" spans="1:28" ht="54" customHeight="1" x14ac:dyDescent="0.25">
      <c r="A11" s="574" t="s">
        <v>29</v>
      </c>
      <c r="B11" s="1031"/>
      <c r="C11" s="1032"/>
      <c r="D11" s="1032"/>
      <c r="E11" s="1033"/>
      <c r="G11" s="254">
        <v>5000</v>
      </c>
      <c r="H11" s="225" t="s">
        <v>25</v>
      </c>
      <c r="Z11" s="1028" t="s">
        <v>613</v>
      </c>
      <c r="AA11" s="1029"/>
      <c r="AB11" s="357">
        <v>0.26819999999999999</v>
      </c>
    </row>
    <row r="12" spans="1:28" ht="30" customHeight="1" x14ac:dyDescent="0.25">
      <c r="A12" s="574" t="s">
        <v>14</v>
      </c>
      <c r="B12" s="1010" t="s">
        <v>939</v>
      </c>
      <c r="C12" s="1010"/>
      <c r="D12" s="1010"/>
      <c r="E12" s="1010"/>
      <c r="G12" s="225"/>
      <c r="H12" s="225" t="s">
        <v>7</v>
      </c>
      <c r="Z12" s="1028" t="s">
        <v>614</v>
      </c>
      <c r="AA12" s="1029"/>
      <c r="AB12" s="357">
        <v>1.18E-2</v>
      </c>
    </row>
    <row r="13" spans="1:28" ht="30" customHeight="1" x14ac:dyDescent="0.25">
      <c r="A13" s="574" t="s">
        <v>3</v>
      </c>
      <c r="B13" s="1011" t="s">
        <v>943</v>
      </c>
      <c r="C13" s="1011"/>
      <c r="D13" s="1011"/>
      <c r="E13" s="1011"/>
      <c r="Z13" s="1028" t="s">
        <v>615</v>
      </c>
      <c r="AA13" s="1029"/>
      <c r="AB13" s="358">
        <v>0.36854545454545451</v>
      </c>
    </row>
    <row r="14" spans="1:28" ht="30" customHeight="1" x14ac:dyDescent="0.25">
      <c r="A14" s="574" t="s">
        <v>15</v>
      </c>
      <c r="B14" s="1010"/>
      <c r="C14" s="1010"/>
      <c r="D14" s="1010"/>
      <c r="E14" s="1010"/>
      <c r="Z14" s="1028" t="s">
        <v>616</v>
      </c>
      <c r="AA14" s="1029"/>
      <c r="AB14" s="357">
        <v>0.26819999999999999</v>
      </c>
    </row>
    <row r="15" spans="1:28" ht="30" customHeight="1" x14ac:dyDescent="0.25">
      <c r="A15" s="574" t="s">
        <v>4</v>
      </c>
      <c r="B15" s="1010">
        <v>2020</v>
      </c>
      <c r="C15" s="1010"/>
      <c r="D15" s="1010"/>
      <c r="E15" s="1010"/>
      <c r="F15" s="33"/>
      <c r="Z15" s="1028" t="s">
        <v>578</v>
      </c>
      <c r="AA15" s="1029"/>
      <c r="AB15" s="357">
        <v>0.27700000000000002</v>
      </c>
    </row>
    <row r="16" spans="1:28" ht="30" customHeight="1" x14ac:dyDescent="0.25">
      <c r="A16" s="574" t="s">
        <v>5</v>
      </c>
      <c r="B16" s="1010">
        <v>2025</v>
      </c>
      <c r="C16" s="1010"/>
      <c r="D16" s="1010"/>
      <c r="E16" s="1010"/>
      <c r="F16" s="33"/>
      <c r="Z16" s="1028" t="s">
        <v>579</v>
      </c>
      <c r="AA16" s="1029"/>
      <c r="AB16" s="357">
        <v>0.20269999999999999</v>
      </c>
    </row>
    <row r="17" spans="1:9" ht="30" customHeight="1" x14ac:dyDescent="0.25">
      <c r="A17" s="574" t="s">
        <v>6</v>
      </c>
      <c r="B17" s="1000">
        <f>G11</f>
        <v>5000</v>
      </c>
      <c r="C17" s="1000"/>
      <c r="D17" s="1000"/>
      <c r="E17" s="1000"/>
      <c r="F17" s="34"/>
    </row>
    <row r="18" spans="1:9" ht="30" customHeight="1" x14ac:dyDescent="0.25">
      <c r="A18" s="574"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574" t="s">
        <v>8</v>
      </c>
      <c r="B21" s="1000">
        <v>1</v>
      </c>
      <c r="C21" s="1000"/>
      <c r="D21" s="1000"/>
      <c r="E21" s="1000"/>
      <c r="F21" s="33"/>
    </row>
    <row r="22" spans="1:9" ht="30" customHeight="1" x14ac:dyDescent="0.25">
      <c r="A22" s="574" t="s">
        <v>9</v>
      </c>
      <c r="B22" s="1000"/>
      <c r="C22" s="1000"/>
      <c r="D22" s="1000"/>
      <c r="E22" s="1000"/>
      <c r="F22" s="37"/>
    </row>
    <row r="23" spans="1:9" ht="30" customHeight="1" x14ac:dyDescent="0.25">
      <c r="A23" s="574" t="s">
        <v>301</v>
      </c>
      <c r="B23" s="1016">
        <f>B17/(B21+B22)</f>
        <v>5000</v>
      </c>
      <c r="C23" s="1016"/>
      <c r="D23" s="1016"/>
      <c r="E23" s="1016"/>
      <c r="F23" s="37"/>
    </row>
    <row r="24" spans="1:9" ht="30" customHeight="1" x14ac:dyDescent="0.25">
      <c r="A24" s="574" t="s">
        <v>302</v>
      </c>
      <c r="B24" s="1017">
        <f>(B17-B18)/(B21+B22)</f>
        <v>5000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61"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t="s">
        <v>985</v>
      </c>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B5:E5"/>
    <mergeCell ref="G5:H5"/>
    <mergeCell ref="Z5:AB5"/>
    <mergeCell ref="B6:E6"/>
    <mergeCell ref="G6:H6"/>
    <mergeCell ref="Z6:AA6"/>
    <mergeCell ref="A1:E1"/>
    <mergeCell ref="B2:E2"/>
    <mergeCell ref="G2:H2"/>
    <mergeCell ref="B3:E3"/>
    <mergeCell ref="G3:H3"/>
    <mergeCell ref="B4:E4"/>
    <mergeCell ref="G4:H4"/>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17:E17"/>
    <mergeCell ref="B18:E18"/>
    <mergeCell ref="B19:E19"/>
    <mergeCell ref="B20:E20"/>
    <mergeCell ref="B21:E21"/>
    <mergeCell ref="B22:E22"/>
    <mergeCell ref="B14:E14"/>
    <mergeCell ref="Z14:AA14"/>
    <mergeCell ref="B15:E15"/>
    <mergeCell ref="Z15:AA15"/>
    <mergeCell ref="B16:E16"/>
    <mergeCell ref="Z16:AA16"/>
    <mergeCell ref="B29:E29"/>
    <mergeCell ref="B31:D31"/>
    <mergeCell ref="B32:D32"/>
    <mergeCell ref="G32:I32"/>
    <mergeCell ref="B33:D33"/>
    <mergeCell ref="H33:I33"/>
    <mergeCell ref="B23:E23"/>
    <mergeCell ref="B24:E24"/>
    <mergeCell ref="B25:E25"/>
    <mergeCell ref="B26:E26"/>
    <mergeCell ref="B27:E27"/>
    <mergeCell ref="B28:E28"/>
    <mergeCell ref="B38:D38"/>
    <mergeCell ref="B39:D39"/>
    <mergeCell ref="B40:D40"/>
    <mergeCell ref="G40:I40"/>
    <mergeCell ref="B41:D41"/>
    <mergeCell ref="B42:D42"/>
    <mergeCell ref="B34:D34"/>
    <mergeCell ref="H34:I34"/>
    <mergeCell ref="B35:D35"/>
    <mergeCell ref="H35:I35"/>
    <mergeCell ref="B36:D36"/>
    <mergeCell ref="B37:D37"/>
    <mergeCell ref="B44:D44"/>
    <mergeCell ref="G46:L46"/>
    <mergeCell ref="A47:A51"/>
    <mergeCell ref="B47:F47"/>
    <mergeCell ref="G47:L47"/>
    <mergeCell ref="B48:F48"/>
    <mergeCell ref="G48:L48"/>
    <mergeCell ref="B49:F49"/>
    <mergeCell ref="G49:L49"/>
    <mergeCell ref="B50:F50"/>
    <mergeCell ref="G50:L50"/>
    <mergeCell ref="B51:F51"/>
    <mergeCell ref="G51:L51"/>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s>
  <conditionalFormatting sqref="B5">
    <cfRule type="containsText" dxfId="296" priority="1" operator="containsText" text="Terminé">
      <formula>NOT(ISERROR(SEARCH("Terminé",B5)))</formula>
    </cfRule>
    <cfRule type="containsText" dxfId="295" priority="2" operator="containsText" text="En cours">
      <formula>NOT(ISERROR(SEARCH("En cours",B5)))</formula>
    </cfRule>
    <cfRule type="containsText" dxfId="29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7"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1016</v>
      </c>
      <c r="C2" s="1002"/>
      <c r="D2" s="1002"/>
      <c r="E2" s="1002"/>
      <c r="F2" s="7"/>
      <c r="G2" s="986" t="s">
        <v>751</v>
      </c>
      <c r="H2" s="986"/>
    </row>
    <row r="3" spans="1:28" ht="19.5" customHeight="1" x14ac:dyDescent="0.25">
      <c r="A3" s="579" t="s">
        <v>743</v>
      </c>
      <c r="B3" s="987" t="s">
        <v>434</v>
      </c>
      <c r="C3" s="987"/>
      <c r="D3" s="987"/>
      <c r="E3" s="987"/>
      <c r="F3" s="7"/>
      <c r="G3" s="986" t="s">
        <v>752</v>
      </c>
      <c r="H3" s="986"/>
    </row>
    <row r="4" spans="1:28" ht="19.5" customHeight="1" x14ac:dyDescent="0.25">
      <c r="A4" s="580" t="s">
        <v>292</v>
      </c>
      <c r="B4" s="996" t="s">
        <v>31</v>
      </c>
      <c r="C4" s="996"/>
      <c r="D4" s="996"/>
      <c r="E4" s="996"/>
      <c r="F4" s="7"/>
      <c r="G4" s="986" t="s">
        <v>753</v>
      </c>
      <c r="H4" s="986"/>
    </row>
    <row r="5" spans="1:28" ht="19.5" customHeight="1" x14ac:dyDescent="0.25">
      <c r="A5" s="580"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584"/>
      <c r="J7" s="584"/>
      <c r="Z7" s="581"/>
      <c r="AA7" s="582"/>
      <c r="AB7" s="357"/>
    </row>
    <row r="8" spans="1:28" ht="24" customHeight="1" x14ac:dyDescent="0.25">
      <c r="A8" s="589" t="s">
        <v>1</v>
      </c>
      <c r="B8" s="996" t="s">
        <v>32</v>
      </c>
      <c r="C8" s="996"/>
      <c r="D8" s="996"/>
      <c r="E8" s="996"/>
      <c r="G8" s="997" t="s">
        <v>936</v>
      </c>
      <c r="Z8" s="1028" t="s">
        <v>611</v>
      </c>
      <c r="AA8" s="1029"/>
      <c r="AB8" s="357">
        <v>0.26819999999999999</v>
      </c>
    </row>
    <row r="9" spans="1:28" ht="24" customHeight="1" x14ac:dyDescent="0.25">
      <c r="A9" s="589" t="s">
        <v>0</v>
      </c>
      <c r="B9" s="996" t="s">
        <v>1017</v>
      </c>
      <c r="C9" s="996"/>
      <c r="D9" s="996"/>
      <c r="E9" s="996"/>
      <c r="G9" s="997"/>
      <c r="Z9" s="1028" t="s">
        <v>612</v>
      </c>
      <c r="AA9" s="1029"/>
      <c r="AB9" s="357">
        <v>3.1300000000000001E-2</v>
      </c>
    </row>
    <row r="10" spans="1:28" ht="90" customHeight="1" x14ac:dyDescent="0.25">
      <c r="A10" s="589" t="s">
        <v>2</v>
      </c>
      <c r="B10" s="1008" t="s">
        <v>1018</v>
      </c>
      <c r="C10" s="1009"/>
      <c r="D10" s="1009"/>
      <c r="E10" s="1009"/>
      <c r="G10" s="997"/>
      <c r="H10" s="7"/>
      <c r="Z10" s="1028"/>
      <c r="AA10" s="1029"/>
      <c r="AB10" s="357"/>
    </row>
    <row r="11" spans="1:28" ht="54" customHeight="1" x14ac:dyDescent="0.25">
      <c r="A11" s="589" t="s">
        <v>29</v>
      </c>
      <c r="B11" s="1031"/>
      <c r="C11" s="1032"/>
      <c r="D11" s="1032"/>
      <c r="E11" s="1033"/>
      <c r="G11" s="254">
        <v>1000</v>
      </c>
      <c r="H11" s="225" t="s">
        <v>25</v>
      </c>
      <c r="Z11" s="1028" t="s">
        <v>613</v>
      </c>
      <c r="AA11" s="1029"/>
      <c r="AB11" s="357">
        <v>0.26819999999999999</v>
      </c>
    </row>
    <row r="12" spans="1:28" ht="30" customHeight="1" x14ac:dyDescent="0.25">
      <c r="A12" s="589" t="s">
        <v>14</v>
      </c>
      <c r="B12" s="1010" t="s">
        <v>939</v>
      </c>
      <c r="C12" s="1010"/>
      <c r="D12" s="1010"/>
      <c r="E12" s="1010"/>
      <c r="G12" s="225"/>
      <c r="H12" s="225" t="s">
        <v>7</v>
      </c>
      <c r="Z12" s="1028" t="s">
        <v>614</v>
      </c>
      <c r="AA12" s="1029"/>
      <c r="AB12" s="357">
        <v>1.18E-2</v>
      </c>
    </row>
    <row r="13" spans="1:28" ht="30" customHeight="1" x14ac:dyDescent="0.25">
      <c r="A13" s="589" t="s">
        <v>3</v>
      </c>
      <c r="B13" s="1011" t="s">
        <v>943</v>
      </c>
      <c r="C13" s="1011"/>
      <c r="D13" s="1011"/>
      <c r="E13" s="1011"/>
      <c r="Z13" s="1028" t="s">
        <v>615</v>
      </c>
      <c r="AA13" s="1029"/>
      <c r="AB13" s="358">
        <v>0.36854545454545451</v>
      </c>
    </row>
    <row r="14" spans="1:28" ht="30" customHeight="1" x14ac:dyDescent="0.25">
      <c r="A14" s="589" t="s">
        <v>15</v>
      </c>
      <c r="B14" s="1010"/>
      <c r="C14" s="1010"/>
      <c r="D14" s="1010"/>
      <c r="E14" s="1010"/>
      <c r="Z14" s="1028" t="s">
        <v>616</v>
      </c>
      <c r="AA14" s="1029"/>
      <c r="AB14" s="357">
        <v>0.26819999999999999</v>
      </c>
    </row>
    <row r="15" spans="1:28" ht="30" customHeight="1" x14ac:dyDescent="0.25">
      <c r="A15" s="589" t="s">
        <v>4</v>
      </c>
      <c r="B15" s="1010">
        <v>2019</v>
      </c>
      <c r="C15" s="1010"/>
      <c r="D15" s="1010"/>
      <c r="E15" s="1010"/>
      <c r="F15" s="33"/>
      <c r="Z15" s="1028" t="s">
        <v>578</v>
      </c>
      <c r="AA15" s="1029"/>
      <c r="AB15" s="357">
        <v>0.27700000000000002</v>
      </c>
    </row>
    <row r="16" spans="1:28" ht="30" customHeight="1" x14ac:dyDescent="0.25">
      <c r="A16" s="589" t="s">
        <v>5</v>
      </c>
      <c r="B16" s="1010">
        <v>2030</v>
      </c>
      <c r="C16" s="1010"/>
      <c r="D16" s="1010"/>
      <c r="E16" s="1010"/>
      <c r="F16" s="33"/>
      <c r="Z16" s="1028" t="s">
        <v>579</v>
      </c>
      <c r="AA16" s="1029"/>
      <c r="AB16" s="357">
        <v>0.20269999999999999</v>
      </c>
    </row>
    <row r="17" spans="1:9" ht="30" customHeight="1" x14ac:dyDescent="0.25">
      <c r="A17" s="589" t="s">
        <v>6</v>
      </c>
      <c r="B17" s="1000">
        <f>G11</f>
        <v>1000</v>
      </c>
      <c r="C17" s="1000"/>
      <c r="D17" s="1000"/>
      <c r="E17" s="1000"/>
      <c r="F17" s="34"/>
    </row>
    <row r="18" spans="1:9" ht="30" customHeight="1" x14ac:dyDescent="0.25">
      <c r="A18" s="589"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589" t="s">
        <v>8</v>
      </c>
      <c r="B21" s="1000">
        <v>1</v>
      </c>
      <c r="C21" s="1000"/>
      <c r="D21" s="1000"/>
      <c r="E21" s="1000"/>
      <c r="F21" s="33"/>
    </row>
    <row r="22" spans="1:9" ht="30" customHeight="1" x14ac:dyDescent="0.25">
      <c r="A22" s="589" t="s">
        <v>9</v>
      </c>
      <c r="B22" s="1000"/>
      <c r="C22" s="1000"/>
      <c r="D22" s="1000"/>
      <c r="E22" s="1000"/>
      <c r="F22" s="37"/>
    </row>
    <row r="23" spans="1:9" ht="30" customHeight="1" x14ac:dyDescent="0.25">
      <c r="A23" s="589" t="s">
        <v>301</v>
      </c>
      <c r="B23" s="1016">
        <f>B17/(B21+B22)</f>
        <v>1000</v>
      </c>
      <c r="C23" s="1016"/>
      <c r="D23" s="1016"/>
      <c r="E23" s="1016"/>
      <c r="F23" s="37"/>
    </row>
    <row r="24" spans="1:9" ht="30" customHeight="1" x14ac:dyDescent="0.25">
      <c r="A24" s="589" t="s">
        <v>302</v>
      </c>
      <c r="B24" s="1017">
        <f>(B17-B18)/(B21+B22)</f>
        <v>1000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75"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t="s">
        <v>985</v>
      </c>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B44:D44"/>
    <mergeCell ref="G46:L46"/>
    <mergeCell ref="A47:A51"/>
    <mergeCell ref="B47:F47"/>
    <mergeCell ref="G47:L47"/>
    <mergeCell ref="B48:F48"/>
    <mergeCell ref="G48:L48"/>
    <mergeCell ref="B49:F49"/>
    <mergeCell ref="G49:L49"/>
    <mergeCell ref="B50:F50"/>
    <mergeCell ref="G50:L50"/>
    <mergeCell ref="B51:F51"/>
    <mergeCell ref="G51:L51"/>
    <mergeCell ref="B38:D38"/>
    <mergeCell ref="B39:D39"/>
    <mergeCell ref="B40:D40"/>
    <mergeCell ref="G40:I40"/>
    <mergeCell ref="B41:D41"/>
    <mergeCell ref="B42:D42"/>
    <mergeCell ref="B34:D34"/>
    <mergeCell ref="H34:I34"/>
    <mergeCell ref="B35:D35"/>
    <mergeCell ref="H35:I35"/>
    <mergeCell ref="B36:D36"/>
    <mergeCell ref="B37:D37"/>
    <mergeCell ref="B29:E29"/>
    <mergeCell ref="B31:D31"/>
    <mergeCell ref="B32:D32"/>
    <mergeCell ref="G32:I32"/>
    <mergeCell ref="B33:D33"/>
    <mergeCell ref="H33:I33"/>
    <mergeCell ref="B23:E23"/>
    <mergeCell ref="B24:E24"/>
    <mergeCell ref="B25:E25"/>
    <mergeCell ref="B26:E26"/>
    <mergeCell ref="B27:E27"/>
    <mergeCell ref="B28:E28"/>
    <mergeCell ref="B17:E17"/>
    <mergeCell ref="B18:E18"/>
    <mergeCell ref="B19:E19"/>
    <mergeCell ref="B20:E20"/>
    <mergeCell ref="B21:E21"/>
    <mergeCell ref="B22:E22"/>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293" priority="1" operator="containsText" text="Terminé">
      <formula>NOT(ISERROR(SEARCH("Terminé",B5)))</formula>
    </cfRule>
    <cfRule type="containsText" dxfId="292" priority="2" operator="containsText" text="En cours">
      <formula>NOT(ISERROR(SEARCH("En cours",B5)))</formula>
    </cfRule>
    <cfRule type="containsText" dxfId="29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43"/>
  <sheetViews>
    <sheetView topLeftCell="D1" zoomScale="145" zoomScaleNormal="145" workbookViewId="0">
      <selection activeCell="K16" sqref="K16"/>
    </sheetView>
  </sheetViews>
  <sheetFormatPr baseColWidth="10" defaultColWidth="11.42578125" defaultRowHeight="15" x14ac:dyDescent="0.25"/>
  <cols>
    <col min="1" max="1" width="26.5703125" style="6" customWidth="1"/>
    <col min="2" max="2" width="18.28515625" style="6" customWidth="1"/>
    <col min="3" max="5" width="11.42578125" style="6"/>
    <col min="6" max="6" width="14.42578125" style="6" customWidth="1"/>
    <col min="7" max="7" width="12.85546875" style="6" customWidth="1"/>
    <col min="8" max="9" width="11.42578125" style="6"/>
    <col min="10" max="14" width="9.5703125" style="6" customWidth="1"/>
    <col min="15" max="16384" width="11.42578125" style="6"/>
  </cols>
  <sheetData>
    <row r="1" spans="1:20" ht="26.25" x14ac:dyDescent="0.4">
      <c r="A1" s="4" t="s">
        <v>49</v>
      </c>
      <c r="B1" s="11" t="s">
        <v>936</v>
      </c>
    </row>
    <row r="2" spans="1:20" x14ac:dyDescent="0.25">
      <c r="K2" s="962" t="s">
        <v>840</v>
      </c>
      <c r="L2" s="962"/>
    </row>
    <row r="3" spans="1:20" ht="18.75" x14ac:dyDescent="0.3">
      <c r="A3" s="19" t="s">
        <v>65</v>
      </c>
      <c r="B3" s="31">
        <f>AB33</f>
        <v>215029.19245270186</v>
      </c>
      <c r="C3" s="23" t="s">
        <v>64</v>
      </c>
      <c r="D3" s="23" t="s">
        <v>13</v>
      </c>
      <c r="E3" s="20" t="s">
        <v>30</v>
      </c>
      <c r="F3" s="20" t="s">
        <v>60</v>
      </c>
      <c r="G3" s="13" t="s">
        <v>61</v>
      </c>
      <c r="K3" s="962" t="s">
        <v>753</v>
      </c>
      <c r="L3" s="962"/>
      <c r="P3" s="6" t="s">
        <v>16</v>
      </c>
    </row>
    <row r="4" spans="1:20" x14ac:dyDescent="0.25">
      <c r="A4" s="28"/>
      <c r="B4" s="28" t="s">
        <v>11</v>
      </c>
      <c r="C4" s="32">
        <f>B3*D4</f>
        <v>58057.881962229505</v>
      </c>
      <c r="D4" s="24">
        <v>0.27</v>
      </c>
      <c r="E4" s="29">
        <f>SUM(E5:E11)</f>
        <v>26725.670599999998</v>
      </c>
      <c r="F4" s="14">
        <f>E4/B$3</f>
        <v>0.12428856889223827</v>
      </c>
      <c r="G4" s="26">
        <f>E4/C$4</f>
        <v>0.46032803293421581</v>
      </c>
      <c r="P4" s="6" t="s">
        <v>17</v>
      </c>
    </row>
    <row r="5" spans="1:20" x14ac:dyDescent="0.25">
      <c r="A5" s="974" t="s">
        <v>21</v>
      </c>
      <c r="B5" s="279" t="s">
        <v>380</v>
      </c>
      <c r="C5" s="16">
        <f>C$4*D5</f>
        <v>2902.8940981114756</v>
      </c>
      <c r="D5" s="17">
        <v>0.05</v>
      </c>
      <c r="E5" s="18">
        <f>SUM('Synthèse PER'!S130)</f>
        <v>1415.5935476878872</v>
      </c>
      <c r="F5" s="14">
        <f>E5/B$3</f>
        <v>6.5832621679926704E-3</v>
      </c>
      <c r="G5" s="26">
        <f>E5/C$4</f>
        <v>2.4382452474046926E-2</v>
      </c>
    </row>
    <row r="6" spans="1:20" x14ac:dyDescent="0.25">
      <c r="A6" s="974"/>
      <c r="B6" s="21" t="s">
        <v>36</v>
      </c>
      <c r="C6" s="16">
        <f t="shared" ref="C6:C11" si="0">C$4*D6</f>
        <v>2902.8940981114756</v>
      </c>
      <c r="D6" s="17">
        <v>0.05</v>
      </c>
      <c r="E6" s="18">
        <f>SUM('Synthèse PER'!T130)</f>
        <v>0</v>
      </c>
      <c r="F6" s="14">
        <f t="shared" ref="F6:F11" si="1">E6/B$3</f>
        <v>0</v>
      </c>
      <c r="G6" s="26">
        <f t="shared" ref="G6:G11" si="2">E6/C$4</f>
        <v>0</v>
      </c>
      <c r="P6" s="6" t="s">
        <v>18</v>
      </c>
    </row>
    <row r="7" spans="1:20" x14ac:dyDescent="0.25">
      <c r="A7" s="974"/>
      <c r="B7" s="22" t="s">
        <v>54</v>
      </c>
      <c r="C7" s="16">
        <f t="shared" si="0"/>
        <v>2902.8940981114756</v>
      </c>
      <c r="D7" s="17">
        <v>0.05</v>
      </c>
      <c r="E7" s="18">
        <f>SUM('Synthèse PER'!U130)</f>
        <v>0</v>
      </c>
      <c r="F7" s="14">
        <f t="shared" si="1"/>
        <v>0</v>
      </c>
      <c r="G7" s="26">
        <f t="shared" si="2"/>
        <v>0</v>
      </c>
      <c r="P7" s="6" t="s">
        <v>19</v>
      </c>
    </row>
    <row r="8" spans="1:20" x14ac:dyDescent="0.25">
      <c r="A8" s="974"/>
      <c r="B8" s="21" t="s">
        <v>31</v>
      </c>
      <c r="C8" s="16">
        <f t="shared" si="0"/>
        <v>29028.940981114753</v>
      </c>
      <c r="D8" s="17">
        <v>0.5</v>
      </c>
      <c r="E8" s="18">
        <f>SUM('Synthèse PER'!V130)</f>
        <v>2564.4096000000004</v>
      </c>
      <c r="F8" s="14">
        <f t="shared" si="1"/>
        <v>1.1925867231092688E-2</v>
      </c>
      <c r="G8" s="26">
        <f t="shared" si="2"/>
        <v>4.4169878633676621E-2</v>
      </c>
      <c r="P8" s="6" t="s">
        <v>41</v>
      </c>
    </row>
    <row r="9" spans="1:20" x14ac:dyDescent="0.25">
      <c r="A9" s="974"/>
      <c r="B9" s="21" t="s">
        <v>38</v>
      </c>
      <c r="C9" s="16">
        <f t="shared" si="0"/>
        <v>5805.7881962229512</v>
      </c>
      <c r="D9" s="17">
        <v>0.1</v>
      </c>
      <c r="E9" s="18">
        <f>SUM('Synthèse PER'!W130)</f>
        <v>1118.7</v>
      </c>
      <c r="F9" s="14">
        <f t="shared" si="1"/>
        <v>5.2025494177776396E-3</v>
      </c>
      <c r="G9" s="26">
        <f t="shared" si="2"/>
        <v>1.9268701547324591E-2</v>
      </c>
      <c r="P9" s="6" t="s">
        <v>20</v>
      </c>
    </row>
    <row r="10" spans="1:20" x14ac:dyDescent="0.25">
      <c r="A10" s="974"/>
      <c r="B10" s="21" t="s">
        <v>34</v>
      </c>
      <c r="C10" s="16">
        <f t="shared" si="0"/>
        <v>8708.682294334425</v>
      </c>
      <c r="D10" s="17">
        <v>0.15</v>
      </c>
      <c r="E10" s="18">
        <f>SUM('Synthèse PER'!X130)</f>
        <v>0</v>
      </c>
      <c r="F10" s="14">
        <f t="shared" si="1"/>
        <v>0</v>
      </c>
      <c r="G10" s="26">
        <f t="shared" si="2"/>
        <v>0</v>
      </c>
    </row>
    <row r="11" spans="1:20" ht="15.75" thickBot="1" x14ac:dyDescent="0.3">
      <c r="A11" s="975"/>
      <c r="B11" s="21" t="s">
        <v>37</v>
      </c>
      <c r="C11" s="16">
        <f t="shared" si="0"/>
        <v>5805.7881962229512</v>
      </c>
      <c r="D11" s="17">
        <v>0.1</v>
      </c>
      <c r="E11" s="18">
        <f>SUM('Synthèse PER'!Y130)</f>
        <v>21626.96745231211</v>
      </c>
      <c r="F11" s="12">
        <f t="shared" si="1"/>
        <v>0.10057689007537528</v>
      </c>
      <c r="G11" s="27">
        <f t="shared" si="2"/>
        <v>0.37250700027916767</v>
      </c>
    </row>
    <row r="12" spans="1:20" x14ac:dyDescent="0.25">
      <c r="A12" s="5"/>
      <c r="D12" s="15">
        <f>SUM(D5:D11)</f>
        <v>1</v>
      </c>
    </row>
    <row r="13" spans="1:20" x14ac:dyDescent="0.25">
      <c r="B13" s="971" t="s">
        <v>632</v>
      </c>
      <c r="C13" s="971"/>
      <c r="D13" s="971"/>
      <c r="E13" s="971"/>
      <c r="F13" s="971"/>
      <c r="G13" s="972" t="s">
        <v>631</v>
      </c>
      <c r="H13" s="973"/>
      <c r="I13" s="973"/>
      <c r="J13" s="973"/>
      <c r="K13" s="973"/>
      <c r="L13" s="973"/>
      <c r="M13" s="973"/>
      <c r="N13" s="973"/>
      <c r="O13" s="973"/>
      <c r="P13" s="973"/>
      <c r="Q13" s="973"/>
      <c r="R13" s="964" t="s">
        <v>630</v>
      </c>
      <c r="S13" s="964"/>
      <c r="T13" s="964"/>
    </row>
    <row r="14" spans="1:20" x14ac:dyDescent="0.25">
      <c r="B14" s="971" t="s">
        <v>744</v>
      </c>
      <c r="C14" s="971"/>
      <c r="D14" s="971" t="s">
        <v>434</v>
      </c>
      <c r="E14" s="971"/>
      <c r="F14" s="564" t="s">
        <v>742</v>
      </c>
      <c r="G14" s="976" t="s">
        <v>457</v>
      </c>
      <c r="H14" s="976"/>
      <c r="I14" s="976"/>
      <c r="J14" s="965" t="s">
        <v>746</v>
      </c>
      <c r="K14" s="966"/>
      <c r="L14" s="968" t="s">
        <v>747</v>
      </c>
      <c r="M14" s="969"/>
      <c r="N14" s="970"/>
      <c r="O14" s="563" t="s">
        <v>748</v>
      </c>
      <c r="P14" s="563" t="s">
        <v>813</v>
      </c>
      <c r="Q14" s="421" t="s">
        <v>814</v>
      </c>
      <c r="R14" s="964" t="s">
        <v>815</v>
      </c>
      <c r="S14" s="964"/>
      <c r="T14" s="411" t="s">
        <v>816</v>
      </c>
    </row>
    <row r="15" spans="1:20" x14ac:dyDescent="0.25">
      <c r="B15" s="370" t="s">
        <v>122</v>
      </c>
      <c r="C15" s="590" t="s">
        <v>245</v>
      </c>
      <c r="D15" s="370" t="s">
        <v>770</v>
      </c>
      <c r="E15" s="370" t="s">
        <v>868</v>
      </c>
      <c r="F15" s="370" t="s">
        <v>779</v>
      </c>
      <c r="G15" s="369" t="s">
        <v>70</v>
      </c>
      <c r="H15" s="369" t="s">
        <v>485</v>
      </c>
      <c r="I15" s="369" t="s">
        <v>95</v>
      </c>
      <c r="J15" s="369" t="s">
        <v>812</v>
      </c>
      <c r="K15" s="369" t="s">
        <v>921</v>
      </c>
      <c r="L15" s="369" t="s">
        <v>805</v>
      </c>
      <c r="M15" s="369" t="s">
        <v>798</v>
      </c>
      <c r="N15" s="369" t="s">
        <v>795</v>
      </c>
      <c r="O15" s="369" t="s">
        <v>792</v>
      </c>
      <c r="P15" s="563"/>
      <c r="Q15" s="369" t="s">
        <v>785</v>
      </c>
      <c r="R15" s="371" t="s">
        <v>617</v>
      </c>
      <c r="S15" s="371" t="s">
        <v>627</v>
      </c>
      <c r="T15" s="371" t="s">
        <v>784</v>
      </c>
    </row>
    <row r="16" spans="1:20" x14ac:dyDescent="0.25">
      <c r="B16" s="370" t="s">
        <v>123</v>
      </c>
      <c r="C16" s="410"/>
      <c r="D16" s="370" t="s">
        <v>771</v>
      </c>
      <c r="E16" s="370" t="s">
        <v>869</v>
      </c>
      <c r="F16" s="370" t="s">
        <v>780</v>
      </c>
      <c r="G16" s="369" t="s">
        <v>71</v>
      </c>
      <c r="H16" s="369" t="s">
        <v>82</v>
      </c>
      <c r="I16" s="369" t="s">
        <v>96</v>
      </c>
      <c r="J16" s="369" t="s">
        <v>811</v>
      </c>
      <c r="K16" s="369" t="s">
        <v>251</v>
      </c>
      <c r="L16" s="369" t="s">
        <v>804</v>
      </c>
      <c r="M16" s="369" t="s">
        <v>797</v>
      </c>
      <c r="N16" s="369" t="s">
        <v>794</v>
      </c>
      <c r="O16" s="369" t="s">
        <v>791</v>
      </c>
      <c r="P16" s="369" t="s">
        <v>789</v>
      </c>
      <c r="Q16" s="563"/>
      <c r="R16" s="371" t="s">
        <v>618</v>
      </c>
      <c r="S16" s="371" t="s">
        <v>628</v>
      </c>
      <c r="T16" s="371" t="s">
        <v>783</v>
      </c>
    </row>
    <row r="17" spans="2:28" x14ac:dyDescent="0.25">
      <c r="B17" s="370" t="s">
        <v>78</v>
      </c>
      <c r="C17" s="410"/>
      <c r="D17" s="370" t="s">
        <v>772</v>
      </c>
      <c r="E17" s="370" t="s">
        <v>870</v>
      </c>
      <c r="F17" s="564"/>
      <c r="G17" s="369" t="s">
        <v>72</v>
      </c>
      <c r="H17" s="369" t="s">
        <v>84</v>
      </c>
      <c r="I17" s="369" t="s">
        <v>97</v>
      </c>
      <c r="J17" s="369" t="s">
        <v>810</v>
      </c>
      <c r="K17" s="563"/>
      <c r="L17" s="369" t="s">
        <v>803</v>
      </c>
      <c r="M17" s="369" t="s">
        <v>796</v>
      </c>
      <c r="N17" s="369" t="s">
        <v>793</v>
      </c>
      <c r="O17" s="369" t="s">
        <v>790</v>
      </c>
      <c r="P17" s="369" t="s">
        <v>788</v>
      </c>
      <c r="Q17" s="563"/>
      <c r="R17" s="371" t="s">
        <v>619</v>
      </c>
      <c r="S17" s="371" t="s">
        <v>629</v>
      </c>
      <c r="T17" s="371" t="s">
        <v>782</v>
      </c>
    </row>
    <row r="18" spans="2:28" x14ac:dyDescent="0.25">
      <c r="B18" s="370" t="s">
        <v>126</v>
      </c>
      <c r="C18" s="410"/>
      <c r="D18" s="370" t="s">
        <v>773</v>
      </c>
      <c r="E18" s="370" t="s">
        <v>871</v>
      </c>
      <c r="F18" s="410"/>
      <c r="G18" s="369" t="s">
        <v>759</v>
      </c>
      <c r="H18" s="369" t="s">
        <v>88</v>
      </c>
      <c r="I18" s="369" t="s">
        <v>99</v>
      </c>
      <c r="J18" s="369" t="s">
        <v>809</v>
      </c>
      <c r="K18" s="563"/>
      <c r="L18" s="369" t="s">
        <v>802</v>
      </c>
      <c r="M18" s="369" t="s">
        <v>841</v>
      </c>
      <c r="N18" s="369" t="s">
        <v>902</v>
      </c>
      <c r="O18" s="369" t="s">
        <v>849</v>
      </c>
      <c r="P18" s="369" t="s">
        <v>787</v>
      </c>
      <c r="Q18" s="563"/>
      <c r="R18" s="371" t="s">
        <v>620</v>
      </c>
      <c r="S18" s="411"/>
      <c r="T18" s="371" t="s">
        <v>781</v>
      </c>
    </row>
    <row r="19" spans="2:28" x14ac:dyDescent="0.25">
      <c r="B19" s="370" t="s">
        <v>132</v>
      </c>
      <c r="C19" s="410"/>
      <c r="D19" s="370" t="s">
        <v>774</v>
      </c>
      <c r="E19" s="370" t="s">
        <v>987</v>
      </c>
      <c r="F19" s="410"/>
      <c r="G19" s="369" t="s">
        <v>73</v>
      </c>
      <c r="H19" s="369" t="s">
        <v>89</v>
      </c>
      <c r="I19" s="369" t="s">
        <v>101</v>
      </c>
      <c r="J19" s="369" t="s">
        <v>808</v>
      </c>
      <c r="K19" s="563"/>
      <c r="L19" s="369" t="s">
        <v>801</v>
      </c>
      <c r="M19" s="563"/>
      <c r="N19" s="369" t="s">
        <v>903</v>
      </c>
      <c r="O19" s="563"/>
      <c r="P19" s="369" t="s">
        <v>786</v>
      </c>
      <c r="Q19" s="563"/>
      <c r="R19" s="371" t="s">
        <v>621</v>
      </c>
      <c r="S19" s="411"/>
      <c r="T19" s="411"/>
    </row>
    <row r="20" spans="2:28" x14ac:dyDescent="0.25">
      <c r="B20" s="370" t="s">
        <v>131</v>
      </c>
      <c r="C20" s="410"/>
      <c r="D20" s="370" t="s">
        <v>775</v>
      </c>
      <c r="E20" s="370" t="s">
        <v>990</v>
      </c>
      <c r="F20" s="410"/>
      <c r="G20" s="369" t="s">
        <v>74</v>
      </c>
      <c r="H20" s="369" t="s">
        <v>90</v>
      </c>
      <c r="I20" s="369" t="s">
        <v>103</v>
      </c>
      <c r="J20" s="369" t="s">
        <v>807</v>
      </c>
      <c r="K20" s="563"/>
      <c r="L20" s="369" t="s">
        <v>800</v>
      </c>
      <c r="M20" s="563"/>
      <c r="N20" s="369" t="s">
        <v>904</v>
      </c>
      <c r="O20" s="563"/>
      <c r="P20" s="563"/>
      <c r="Q20" s="563"/>
      <c r="R20" s="371" t="s">
        <v>622</v>
      </c>
      <c r="S20" s="411"/>
      <c r="T20" s="411"/>
    </row>
    <row r="21" spans="2:28" ht="15.75" customHeight="1" x14ac:dyDescent="0.25">
      <c r="B21" s="370" t="s">
        <v>125</v>
      </c>
      <c r="C21" s="410"/>
      <c r="D21" s="370" t="s">
        <v>776</v>
      </c>
      <c r="E21" s="564"/>
      <c r="F21" s="410"/>
      <c r="G21" s="369" t="s">
        <v>75</v>
      </c>
      <c r="H21" s="369" t="s">
        <v>91</v>
      </c>
      <c r="I21" s="369" t="s">
        <v>105</v>
      </c>
      <c r="J21" s="369" t="s">
        <v>806</v>
      </c>
      <c r="K21" s="563"/>
      <c r="L21" s="369" t="s">
        <v>799</v>
      </c>
      <c r="M21" s="563"/>
      <c r="N21" s="563"/>
      <c r="O21" s="563"/>
      <c r="P21" s="563"/>
      <c r="Q21" s="563"/>
      <c r="R21" s="371" t="s">
        <v>623</v>
      </c>
      <c r="S21" s="411"/>
      <c r="T21" s="411"/>
    </row>
    <row r="22" spans="2:28" ht="15.75" customHeight="1" x14ac:dyDescent="0.25">
      <c r="B22" s="370" t="s">
        <v>134</v>
      </c>
      <c r="C22" s="410"/>
      <c r="D22" s="370" t="s">
        <v>777</v>
      </c>
      <c r="E22" s="564"/>
      <c r="F22" s="410"/>
      <c r="G22" s="369" t="s">
        <v>79</v>
      </c>
      <c r="H22" s="369" t="s">
        <v>92</v>
      </c>
      <c r="I22" s="369" t="s">
        <v>112</v>
      </c>
      <c r="J22" s="369" t="s">
        <v>906</v>
      </c>
      <c r="K22" s="563"/>
      <c r="L22" s="369" t="s">
        <v>844</v>
      </c>
      <c r="M22" s="563"/>
      <c r="N22" s="563"/>
      <c r="O22" s="563"/>
      <c r="P22" s="563"/>
      <c r="Q22" s="563"/>
      <c r="R22" s="371" t="s">
        <v>624</v>
      </c>
      <c r="S22" s="562"/>
      <c r="T22" s="411"/>
    </row>
    <row r="23" spans="2:28" x14ac:dyDescent="0.25">
      <c r="B23" s="370" t="s">
        <v>135</v>
      </c>
      <c r="C23" s="410"/>
      <c r="D23" s="370" t="s">
        <v>778</v>
      </c>
      <c r="E23" s="564"/>
      <c r="F23" s="410"/>
      <c r="G23" s="369" t="s">
        <v>80</v>
      </c>
      <c r="H23" s="369" t="s">
        <v>93</v>
      </c>
      <c r="I23" s="369" t="s">
        <v>113</v>
      </c>
      <c r="J23" s="369" t="s">
        <v>923</v>
      </c>
      <c r="K23" s="563"/>
      <c r="L23" s="563"/>
      <c r="M23" s="563"/>
      <c r="N23" s="563"/>
      <c r="O23" s="563"/>
      <c r="P23" s="563"/>
      <c r="Q23" s="563"/>
      <c r="R23" s="371" t="s">
        <v>625</v>
      </c>
      <c r="S23" s="562"/>
      <c r="T23" s="411"/>
    </row>
    <row r="24" spans="2:28" x14ac:dyDescent="0.25">
      <c r="B24" s="370" t="s">
        <v>244</v>
      </c>
      <c r="C24" s="410"/>
      <c r="D24" s="370" t="s">
        <v>867</v>
      </c>
      <c r="E24" s="564"/>
      <c r="F24" s="410"/>
      <c r="G24" s="369" t="s">
        <v>81</v>
      </c>
      <c r="H24" s="369" t="s">
        <v>94</v>
      </c>
      <c r="I24" s="563"/>
      <c r="J24" s="369" t="s">
        <v>922</v>
      </c>
      <c r="K24" s="563"/>
      <c r="L24" s="563"/>
      <c r="M24" s="563"/>
      <c r="N24" s="563"/>
      <c r="O24" s="563"/>
      <c r="P24" s="563"/>
      <c r="Q24" s="563"/>
      <c r="R24" s="371" t="s">
        <v>626</v>
      </c>
      <c r="S24" s="562"/>
      <c r="T24" s="411"/>
    </row>
    <row r="26" spans="2:28" x14ac:dyDescent="0.25">
      <c r="I26" s="194"/>
      <c r="J26" s="963" t="s">
        <v>56</v>
      </c>
      <c r="K26" s="963"/>
      <c r="L26" s="963"/>
      <c r="M26" s="963"/>
      <c r="N26" s="963"/>
      <c r="O26" s="195"/>
      <c r="P26" s="194"/>
      <c r="Q26" s="960" t="s">
        <v>456</v>
      </c>
      <c r="R26" s="960"/>
      <c r="S26" s="960"/>
      <c r="T26" s="960"/>
      <c r="U26" s="960"/>
      <c r="V26" s="195"/>
      <c r="W26" s="194"/>
      <c r="X26" s="960" t="s">
        <v>64</v>
      </c>
      <c r="Y26" s="960"/>
      <c r="Z26" s="960"/>
      <c r="AA26" s="960"/>
      <c r="AB26" s="960"/>
    </row>
    <row r="27" spans="2:28" x14ac:dyDescent="0.25">
      <c r="I27" s="540">
        <v>2006</v>
      </c>
      <c r="J27" s="196" t="s">
        <v>50</v>
      </c>
      <c r="K27" s="196" t="s">
        <v>51</v>
      </c>
      <c r="L27" s="196" t="s">
        <v>52</v>
      </c>
      <c r="M27" s="196" t="s">
        <v>57</v>
      </c>
      <c r="N27" s="196" t="s">
        <v>53</v>
      </c>
      <c r="O27" s="195"/>
      <c r="P27" s="197">
        <v>2006</v>
      </c>
      <c r="Q27" s="198" t="s">
        <v>50</v>
      </c>
      <c r="R27" s="198" t="s">
        <v>51</v>
      </c>
      <c r="S27" s="198" t="s">
        <v>52</v>
      </c>
      <c r="T27" s="198" t="s">
        <v>57</v>
      </c>
      <c r="U27" s="198" t="s">
        <v>53</v>
      </c>
      <c r="V27" s="195"/>
      <c r="W27" s="197">
        <v>2006</v>
      </c>
      <c r="X27" s="198" t="s">
        <v>50</v>
      </c>
      <c r="Y27" s="198" t="s">
        <v>51</v>
      </c>
      <c r="Z27" s="198" t="s">
        <v>52</v>
      </c>
      <c r="AA27" s="198" t="s">
        <v>57</v>
      </c>
      <c r="AB27" s="198" t="s">
        <v>53</v>
      </c>
    </row>
    <row r="28" spans="2:28" x14ac:dyDescent="0.25">
      <c r="I28" s="464" t="s">
        <v>36</v>
      </c>
      <c r="J28" s="551">
        <v>54.665354061898213</v>
      </c>
      <c r="K28" s="552">
        <v>0</v>
      </c>
      <c r="L28" s="553">
        <v>828.33230499678359</v>
      </c>
      <c r="M28" s="552">
        <v>0</v>
      </c>
      <c r="N28" s="553">
        <v>882.99765905868185</v>
      </c>
      <c r="O28" s="195"/>
      <c r="P28" s="465" t="s">
        <v>36</v>
      </c>
      <c r="Q28" s="495">
        <v>0.1973478485989105</v>
      </c>
      <c r="R28" s="197"/>
      <c r="S28" s="495">
        <v>3.0884873415241745</v>
      </c>
      <c r="T28" s="197"/>
      <c r="U28" s="496">
        <v>3.2858351901230849</v>
      </c>
      <c r="V28" s="195"/>
      <c r="W28" s="465" t="s">
        <v>36</v>
      </c>
      <c r="X28" s="554">
        <v>197.3478485989105</v>
      </c>
      <c r="Y28" s="554">
        <v>0</v>
      </c>
      <c r="Z28" s="554">
        <v>3088.4873415241746</v>
      </c>
      <c r="AA28" s="554">
        <v>0</v>
      </c>
      <c r="AB28" s="554">
        <v>3285.8351901230849</v>
      </c>
    </row>
    <row r="29" spans="2:28" x14ac:dyDescent="0.25">
      <c r="I29" s="464" t="s">
        <v>69</v>
      </c>
      <c r="J29" s="553">
        <v>10660.259538345292</v>
      </c>
      <c r="K29" s="553">
        <v>4627.3944918884717</v>
      </c>
      <c r="L29" s="553">
        <v>132.43928666191243</v>
      </c>
      <c r="M29" s="553">
        <v>0</v>
      </c>
      <c r="N29" s="553">
        <v>15420.093316895676</v>
      </c>
      <c r="O29" s="195"/>
      <c r="P29" s="465" t="s">
        <v>69</v>
      </c>
      <c r="Q29" s="466">
        <v>38.484691474170724</v>
      </c>
      <c r="R29" s="466">
        <v>22.82878387710149</v>
      </c>
      <c r="S29" s="466">
        <v>0.49380792938818951</v>
      </c>
      <c r="T29" s="466">
        <v>0</v>
      </c>
      <c r="U29" s="496">
        <v>61.807283280660407</v>
      </c>
      <c r="V29" s="195"/>
      <c r="W29" s="465" t="s">
        <v>69</v>
      </c>
      <c r="X29" s="554">
        <v>38484.691474170722</v>
      </c>
      <c r="Y29" s="554">
        <v>22828.78387710149</v>
      </c>
      <c r="Z29" s="554">
        <v>493.80792938818951</v>
      </c>
      <c r="AA29" s="554">
        <v>0</v>
      </c>
      <c r="AB29" s="554">
        <v>61807.283280660406</v>
      </c>
    </row>
    <row r="30" spans="2:28" x14ac:dyDescent="0.25">
      <c r="I30" s="464" t="s">
        <v>31</v>
      </c>
      <c r="J30" s="553">
        <v>4597.7784958049206</v>
      </c>
      <c r="K30" s="553">
        <v>3370.6534490144518</v>
      </c>
      <c r="L30" s="553">
        <v>12573.840705478799</v>
      </c>
      <c r="M30" s="553">
        <v>126.68460143828345</v>
      </c>
      <c r="N30" s="553">
        <v>20668.957251736454</v>
      </c>
      <c r="O30" s="195"/>
      <c r="P30" s="465" t="s">
        <v>31</v>
      </c>
      <c r="Q30" s="466">
        <v>16.598478324205487</v>
      </c>
      <c r="R30" s="466">
        <v>16.628778732187726</v>
      </c>
      <c r="S30" s="466">
        <v>46.882329252344512</v>
      </c>
      <c r="T30" s="466">
        <v>4.0474313558557009</v>
      </c>
      <c r="U30" s="496">
        <v>84.15701766459344</v>
      </c>
      <c r="V30" s="195"/>
      <c r="W30" s="465" t="s">
        <v>31</v>
      </c>
      <c r="X30" s="554">
        <v>16598.478324205487</v>
      </c>
      <c r="Y30" s="554">
        <v>16628.778732187726</v>
      </c>
      <c r="Z30" s="554">
        <v>46882.329252344512</v>
      </c>
      <c r="AA30" s="554">
        <v>4047.431355855701</v>
      </c>
      <c r="AB30" s="554">
        <v>84157.017664593441</v>
      </c>
    </row>
    <row r="31" spans="2:28" x14ac:dyDescent="0.25">
      <c r="I31" s="464" t="s">
        <v>38</v>
      </c>
      <c r="J31" s="553">
        <v>3637.240638182785</v>
      </c>
      <c r="K31" s="553">
        <v>1634.1282510476699</v>
      </c>
      <c r="L31" s="553">
        <v>1057.2729282013402</v>
      </c>
      <c r="M31" s="553">
        <v>0.3249731779582547</v>
      </c>
      <c r="N31" s="553">
        <v>6328.9667906097529</v>
      </c>
      <c r="O31" s="195"/>
      <c r="P31" s="465" t="s">
        <v>38</v>
      </c>
      <c r="Q31" s="466">
        <v>13.130832628818718</v>
      </c>
      <c r="R31" s="466">
        <v>8.0618068625933397</v>
      </c>
      <c r="S31" s="466">
        <v>3.9421063691325138</v>
      </c>
      <c r="T31" s="466">
        <v>2.754009982697074E-2</v>
      </c>
      <c r="U31" s="496">
        <v>25.162285960371545</v>
      </c>
      <c r="V31" s="195"/>
      <c r="W31" s="465" t="s">
        <v>38</v>
      </c>
      <c r="X31" s="554">
        <v>13130.832628818718</v>
      </c>
      <c r="Y31" s="554">
        <v>8061.8068625933392</v>
      </c>
      <c r="Z31" s="554">
        <v>3942.1063691325139</v>
      </c>
      <c r="AA31" s="554">
        <v>27.540099826970739</v>
      </c>
      <c r="AB31" s="554">
        <v>25162.285960371544</v>
      </c>
    </row>
    <row r="32" spans="2:28" x14ac:dyDescent="0.25">
      <c r="I32" s="464" t="s">
        <v>34</v>
      </c>
      <c r="J32" s="553">
        <v>310.47267175260009</v>
      </c>
      <c r="K32" s="553">
        <v>0</v>
      </c>
      <c r="L32" s="553">
        <v>10592.808529720287</v>
      </c>
      <c r="M32" s="553">
        <v>0</v>
      </c>
      <c r="N32" s="553">
        <v>10903.281201472888</v>
      </c>
      <c r="O32" s="195"/>
      <c r="P32" s="465" t="s">
        <v>34</v>
      </c>
      <c r="Q32" s="466">
        <v>1.120839970225993</v>
      </c>
      <c r="R32" s="197"/>
      <c r="S32" s="466">
        <v>39.495930386727395</v>
      </c>
      <c r="T32" s="197"/>
      <c r="U32" s="496">
        <v>40.616770356953388</v>
      </c>
      <c r="V32" s="195"/>
      <c r="W32" s="465" t="s">
        <v>34</v>
      </c>
      <c r="X32" s="554">
        <v>1120.8399702259931</v>
      </c>
      <c r="Y32" s="554">
        <v>0</v>
      </c>
      <c r="Z32" s="554">
        <v>39495.930386727392</v>
      </c>
      <c r="AA32" s="554">
        <v>0</v>
      </c>
      <c r="AB32" s="554">
        <v>40616.770356953391</v>
      </c>
    </row>
    <row r="33" spans="9:29" x14ac:dyDescent="0.25">
      <c r="I33" s="467" t="s">
        <v>58</v>
      </c>
      <c r="J33" s="555">
        <v>19260.416698147495</v>
      </c>
      <c r="K33" s="555">
        <v>9632.1761919505934</v>
      </c>
      <c r="L33" s="555">
        <v>25184.693755059125</v>
      </c>
      <c r="M33" s="555">
        <v>127.00957461624171</v>
      </c>
      <c r="N33" s="555">
        <v>54204.29621977346</v>
      </c>
      <c r="O33" s="195"/>
      <c r="P33" s="468" t="s">
        <v>58</v>
      </c>
      <c r="Q33" s="496">
        <v>69.532190246019823</v>
      </c>
      <c r="R33" s="496">
        <v>47.519369471882555</v>
      </c>
      <c r="S33" s="496">
        <v>93.902661279116785</v>
      </c>
      <c r="T33" s="496">
        <v>4.0749714556826717</v>
      </c>
      <c r="U33" s="496">
        <v>215.02919245270186</v>
      </c>
      <c r="V33" s="195"/>
      <c r="W33" s="468" t="s">
        <v>58</v>
      </c>
      <c r="X33" s="554">
        <v>69532.190246019818</v>
      </c>
      <c r="Y33" s="554">
        <v>47519.369471882557</v>
      </c>
      <c r="Z33" s="554">
        <v>93902.661279116786</v>
      </c>
      <c r="AA33" s="554">
        <v>4074.9714556826716</v>
      </c>
      <c r="AB33" s="554">
        <v>215029.19245270186</v>
      </c>
    </row>
    <row r="34" spans="9:29" x14ac:dyDescent="0.25">
      <c r="I34" s="195"/>
      <c r="J34" s="195"/>
      <c r="K34" s="195"/>
      <c r="L34" s="195"/>
      <c r="M34" s="195"/>
      <c r="N34" s="195"/>
      <c r="O34" s="195"/>
      <c r="P34" s="195"/>
      <c r="Q34" s="195"/>
      <c r="R34" s="195"/>
      <c r="S34" s="195"/>
      <c r="T34" s="195"/>
      <c r="U34" s="195"/>
      <c r="V34" s="195"/>
      <c r="W34" s="556"/>
      <c r="X34" s="195"/>
      <c r="Y34" s="195"/>
      <c r="Z34" s="195"/>
      <c r="AA34" s="195"/>
      <c r="AB34" s="195"/>
    </row>
    <row r="35" spans="9:29" x14ac:dyDescent="0.25">
      <c r="I35" s="540"/>
      <c r="J35" s="963" t="s">
        <v>56</v>
      </c>
      <c r="K35" s="963"/>
      <c r="L35" s="963"/>
      <c r="M35" s="963"/>
      <c r="N35" s="963"/>
      <c r="O35" s="195"/>
      <c r="P35" s="197"/>
      <c r="Q35" s="960" t="s">
        <v>456</v>
      </c>
      <c r="R35" s="960"/>
      <c r="S35" s="960"/>
      <c r="T35" s="960"/>
      <c r="U35" s="960"/>
      <c r="V35" s="195"/>
      <c r="W35" s="194"/>
      <c r="X35" s="960" t="s">
        <v>64</v>
      </c>
      <c r="Y35" s="960"/>
      <c r="Z35" s="960"/>
      <c r="AA35" s="960"/>
      <c r="AB35" s="960"/>
    </row>
    <row r="36" spans="9:29" x14ac:dyDescent="0.25">
      <c r="I36" s="540">
        <v>2014</v>
      </c>
      <c r="J36" s="196" t="s">
        <v>50</v>
      </c>
      <c r="K36" s="196" t="s">
        <v>51</v>
      </c>
      <c r="L36" s="196" t="s">
        <v>52</v>
      </c>
      <c r="M36" s="196" t="s">
        <v>57</v>
      </c>
      <c r="N36" s="196" t="s">
        <v>53</v>
      </c>
      <c r="O36" s="195"/>
      <c r="P36" s="197">
        <v>2014</v>
      </c>
      <c r="Q36" s="198" t="s">
        <v>50</v>
      </c>
      <c r="R36" s="198" t="s">
        <v>51</v>
      </c>
      <c r="S36" s="198" t="s">
        <v>52</v>
      </c>
      <c r="T36" s="198" t="s">
        <v>57</v>
      </c>
      <c r="U36" s="198" t="s">
        <v>53</v>
      </c>
      <c r="V36" s="195"/>
      <c r="W36" s="197">
        <v>2014</v>
      </c>
      <c r="X36" s="198" t="s">
        <v>50</v>
      </c>
      <c r="Y36" s="198" t="s">
        <v>51</v>
      </c>
      <c r="Z36" s="198" t="s">
        <v>52</v>
      </c>
      <c r="AA36" s="198" t="s">
        <v>57</v>
      </c>
      <c r="AB36" s="198" t="s">
        <v>53</v>
      </c>
    </row>
    <row r="37" spans="9:29" x14ac:dyDescent="0.25">
      <c r="I37" s="464" t="s">
        <v>36</v>
      </c>
      <c r="J37" s="557">
        <v>65.636251746101664</v>
      </c>
      <c r="K37" s="557">
        <v>0</v>
      </c>
      <c r="L37" s="557">
        <v>867.24140336066625</v>
      </c>
      <c r="M37" s="557">
        <v>0</v>
      </c>
      <c r="N37" s="558">
        <v>932.87765510676786</v>
      </c>
      <c r="O37" s="559">
        <f>+N28-N37</f>
        <v>-49.879996048086014</v>
      </c>
      <c r="P37" s="465" t="s">
        <v>36</v>
      </c>
      <c r="Q37" s="495">
        <v>0.23695397742274965</v>
      </c>
      <c r="R37" s="197"/>
      <c r="S37" s="495">
        <v>3.2335622794954002</v>
      </c>
      <c r="T37" s="197"/>
      <c r="U37" s="495">
        <v>3.4705162569181498</v>
      </c>
      <c r="V37" s="195"/>
      <c r="W37" s="465" t="s">
        <v>36</v>
      </c>
      <c r="X37" s="554">
        <v>236.95397742274966</v>
      </c>
      <c r="Y37" s="554">
        <v>0</v>
      </c>
      <c r="Z37" s="554">
        <v>3233.5622794954002</v>
      </c>
      <c r="AA37" s="554">
        <v>0</v>
      </c>
      <c r="AB37" s="554">
        <v>3470.5162569181498</v>
      </c>
      <c r="AC37" s="64">
        <f>+AB28-AB37</f>
        <v>-184.68106679506491</v>
      </c>
    </row>
    <row r="38" spans="9:29" x14ac:dyDescent="0.25">
      <c r="I38" s="464" t="s">
        <v>69</v>
      </c>
      <c r="J38" s="557">
        <v>8669.9768395191459</v>
      </c>
      <c r="K38" s="557">
        <v>3497.7573911697668</v>
      </c>
      <c r="L38" s="557">
        <v>178.54978420911488</v>
      </c>
      <c r="M38" s="557">
        <v>0</v>
      </c>
      <c r="N38" s="558">
        <v>12346.284014898029</v>
      </c>
      <c r="O38" s="559">
        <f t="shared" ref="O38:O42" si="3">+N29-N38</f>
        <v>3073.8093019976477</v>
      </c>
      <c r="P38" s="465" t="s">
        <v>69</v>
      </c>
      <c r="Q38" s="466">
        <v>31.299555377325436</v>
      </c>
      <c r="R38" s="466">
        <v>17.255833207546953</v>
      </c>
      <c r="S38" s="466">
        <v>0.66573372188335156</v>
      </c>
      <c r="T38" s="466">
        <v>0</v>
      </c>
      <c r="U38" s="495">
        <v>49.221122306755738</v>
      </c>
      <c r="V38" s="195"/>
      <c r="W38" s="465" t="s">
        <v>69</v>
      </c>
      <c r="X38" s="554">
        <v>31299.555377325436</v>
      </c>
      <c r="Y38" s="554">
        <v>17255.833207546952</v>
      </c>
      <c r="Z38" s="554">
        <v>665.73372188335156</v>
      </c>
      <c r="AA38" s="554">
        <v>0</v>
      </c>
      <c r="AB38" s="554">
        <v>49221.122306755737</v>
      </c>
      <c r="AC38" s="64">
        <f t="shared" ref="AC38:AC42" si="4">+AB29-AB38</f>
        <v>12586.160973904669</v>
      </c>
    </row>
    <row r="39" spans="9:29" x14ac:dyDescent="0.25">
      <c r="I39" s="464" t="s">
        <v>31</v>
      </c>
      <c r="J39" s="557">
        <v>4750.500192648793</v>
      </c>
      <c r="K39" s="557">
        <v>2801.8781788129263</v>
      </c>
      <c r="L39" s="557">
        <v>8923.5552107753174</v>
      </c>
      <c r="M39" s="557">
        <v>172.69705438593684</v>
      </c>
      <c r="N39" s="558">
        <v>16648.630636622973</v>
      </c>
      <c r="O39" s="559">
        <f t="shared" si="3"/>
        <v>4020.3266151134812</v>
      </c>
      <c r="P39" s="465" t="s">
        <v>31</v>
      </c>
      <c r="Q39" s="466">
        <v>17.149820190067842</v>
      </c>
      <c r="R39" s="466">
        <v>13.822783319254693</v>
      </c>
      <c r="S39" s="466">
        <v>33.272017937268153</v>
      </c>
      <c r="T39" s="466">
        <v>5.5174777759085245</v>
      </c>
      <c r="U39" s="495">
        <v>69.762099222499216</v>
      </c>
      <c r="V39" s="559"/>
      <c r="W39" s="465" t="s">
        <v>31</v>
      </c>
      <c r="X39" s="554">
        <v>17149.820190067843</v>
      </c>
      <c r="Y39" s="554">
        <v>13822.783319254693</v>
      </c>
      <c r="Z39" s="554">
        <v>33272.017937268152</v>
      </c>
      <c r="AA39" s="554">
        <v>5517.4777759085246</v>
      </c>
      <c r="AB39" s="554">
        <v>69762.099222499222</v>
      </c>
      <c r="AC39" s="64">
        <f t="shared" si="4"/>
        <v>14394.918442094218</v>
      </c>
    </row>
    <row r="40" spans="9:29" x14ac:dyDescent="0.25">
      <c r="I40" s="464" t="s">
        <v>38</v>
      </c>
      <c r="J40" s="557">
        <v>3113.2161778718441</v>
      </c>
      <c r="K40" s="557">
        <v>1386.9679249474896</v>
      </c>
      <c r="L40" s="557">
        <v>550.75684082965893</v>
      </c>
      <c r="M40" s="557">
        <v>0.23670033563844511</v>
      </c>
      <c r="N40" s="558">
        <v>5051.1776439846317</v>
      </c>
      <c r="O40" s="559">
        <f t="shared" si="3"/>
        <v>1277.7891466251212</v>
      </c>
      <c r="P40" s="465" t="s">
        <v>38</v>
      </c>
      <c r="Q40" s="466">
        <v>11.239047573544564</v>
      </c>
      <c r="R40" s="466">
        <v>6.842466329292006</v>
      </c>
      <c r="S40" s="466">
        <v>2.0535303535781466</v>
      </c>
      <c r="T40" s="466">
        <v>2.0059350477834331E-2</v>
      </c>
      <c r="U40" s="495">
        <v>20.155103606892549</v>
      </c>
      <c r="V40" s="195"/>
      <c r="W40" s="465" t="s">
        <v>38</v>
      </c>
      <c r="X40" s="554">
        <v>11239.047573544563</v>
      </c>
      <c r="Y40" s="554">
        <v>6842.4663292920059</v>
      </c>
      <c r="Z40" s="554">
        <v>2053.5303535781468</v>
      </c>
      <c r="AA40" s="554">
        <v>20.059350477834332</v>
      </c>
      <c r="AB40" s="554">
        <v>20155.10360689255</v>
      </c>
      <c r="AC40" s="64">
        <f t="shared" si="4"/>
        <v>5007.1823534789946</v>
      </c>
    </row>
    <row r="41" spans="9:29" x14ac:dyDescent="0.25">
      <c r="I41" s="464" t="s">
        <v>34</v>
      </c>
      <c r="J41" s="557">
        <v>352.76414244273849</v>
      </c>
      <c r="K41" s="557">
        <v>0</v>
      </c>
      <c r="L41" s="557">
        <v>10280.225973916793</v>
      </c>
      <c r="M41" s="557">
        <v>0</v>
      </c>
      <c r="N41" s="558">
        <v>10632.990116359531</v>
      </c>
      <c r="O41" s="559">
        <f t="shared" si="3"/>
        <v>270.29108511335653</v>
      </c>
      <c r="P41" s="465" t="s">
        <v>34</v>
      </c>
      <c r="Q41" s="466">
        <v>1.2735167597210775</v>
      </c>
      <c r="R41" s="197"/>
      <c r="S41" s="466">
        <v>38.330447330040244</v>
      </c>
      <c r="T41" s="197"/>
      <c r="U41" s="495">
        <v>39.60396408976132</v>
      </c>
      <c r="V41" s="195"/>
      <c r="W41" s="465" t="s">
        <v>34</v>
      </c>
      <c r="X41" s="554">
        <v>1273.5167597210775</v>
      </c>
      <c r="Y41" s="554">
        <v>0</v>
      </c>
      <c r="Z41" s="554">
        <v>38330.447330040246</v>
      </c>
      <c r="AA41" s="554">
        <v>0</v>
      </c>
      <c r="AB41" s="554">
        <v>39603.964089761321</v>
      </c>
      <c r="AC41" s="64">
        <f t="shared" si="4"/>
        <v>1012.8062671920707</v>
      </c>
    </row>
    <row r="42" spans="9:29" x14ac:dyDescent="0.25">
      <c r="I42" s="467" t="s">
        <v>58</v>
      </c>
      <c r="J42" s="560">
        <v>16952.093604228623</v>
      </c>
      <c r="K42" s="560">
        <v>7686.603494930182</v>
      </c>
      <c r="L42" s="560">
        <v>20800.329213091551</v>
      </c>
      <c r="M42" s="560">
        <v>172.93375472157527</v>
      </c>
      <c r="N42" s="560">
        <v>45611.960066971937</v>
      </c>
      <c r="O42" s="559">
        <f t="shared" si="3"/>
        <v>8592.336152801523</v>
      </c>
      <c r="P42" s="468" t="s">
        <v>58</v>
      </c>
      <c r="Q42" s="469">
        <v>61.198893878081677</v>
      </c>
      <c r="R42" s="469">
        <v>37.921082856093655</v>
      </c>
      <c r="S42" s="469">
        <v>77.555291622265287</v>
      </c>
      <c r="T42" s="469">
        <v>5.5375371263863586</v>
      </c>
      <c r="U42" s="469">
        <v>182.21280548282698</v>
      </c>
      <c r="V42" s="195"/>
      <c r="W42" s="468" t="s">
        <v>58</v>
      </c>
      <c r="X42" s="554">
        <v>61198.893878081675</v>
      </c>
      <c r="Y42" s="554">
        <v>37921.082856093657</v>
      </c>
      <c r="Z42" s="554">
        <v>77555.291622265286</v>
      </c>
      <c r="AA42" s="554">
        <v>5537.537126386359</v>
      </c>
      <c r="AB42" s="554">
        <v>182212.80548282698</v>
      </c>
      <c r="AC42" s="64">
        <f t="shared" si="4"/>
        <v>32816.386969874875</v>
      </c>
    </row>
    <row r="43" spans="9:29" x14ac:dyDescent="0.25">
      <c r="V43" s="195"/>
      <c r="W43" s="6" t="s">
        <v>58</v>
      </c>
      <c r="X43" s="6">
        <v>28401.358975644798</v>
      </c>
      <c r="Y43" s="6">
        <v>0</v>
      </c>
      <c r="Z43" s="6">
        <v>79802.906747529356</v>
      </c>
      <c r="AA43" s="6">
        <v>13329.129548896675</v>
      </c>
      <c r="AB43" s="6">
        <v>121533.39527207083</v>
      </c>
      <c r="AC43" s="195"/>
    </row>
  </sheetData>
  <mergeCells count="18">
    <mergeCell ref="A5:A11"/>
    <mergeCell ref="J35:N35"/>
    <mergeCell ref="Q35:U35"/>
    <mergeCell ref="J26:N26"/>
    <mergeCell ref="Q26:U26"/>
    <mergeCell ref="B13:F13"/>
    <mergeCell ref="G13:Q13"/>
    <mergeCell ref="R13:T13"/>
    <mergeCell ref="B14:C14"/>
    <mergeCell ref="D14:E14"/>
    <mergeCell ref="G14:I14"/>
    <mergeCell ref="J14:K14"/>
    <mergeCell ref="L14:N14"/>
    <mergeCell ref="R14:S14"/>
    <mergeCell ref="X26:AB26"/>
    <mergeCell ref="X35:AB35"/>
    <mergeCell ref="K2:L2"/>
    <mergeCell ref="K3:L3"/>
  </mergeCells>
  <dataValidations count="1">
    <dataValidation type="list" allowBlank="1" showInputMessage="1" showErrorMessage="1" sqref="I35">
      <formula1>$B$5:$B$9</formula1>
    </dataValidation>
  </dataValidations>
  <hyperlinks>
    <hyperlink ref="K2" location="'Synthèse CO2'!A1" display="vers Synthèse CO2"/>
    <hyperlink ref="K3:L3" location="CALENDRIER!A1" display="Lien vers CALENDRIER"/>
    <hyperlink ref="B15" location="'ADO-1'!A1" display="ADO-1"/>
    <hyperlink ref="B16" location="'ADO-2'!A1" display="ADO-2"/>
    <hyperlink ref="B17" location="'ADO-3'!A1" display="'ADO-3'!A1"/>
    <hyperlink ref="B18" location="'ADO-4'!A1" display="'ADO-4'!A1"/>
    <hyperlink ref="F15" location="'ADO-40'!A1" display="ADO-40"/>
    <hyperlink ref="F16" location="'ADO-41'!A1" display="ADO-41"/>
    <hyperlink ref="D15" location="'ADO-20'!A1" display="ADO-20"/>
    <hyperlink ref="B19" location="'ADO-5'!A1" display="ADO-5"/>
    <hyperlink ref="G15" location="'ADU-1'!A1" display="ADU-1"/>
    <hyperlink ref="G16" location="'ADU-2'!A1" display="'ADU-2'!A1"/>
    <hyperlink ref="G17" location="'ADU-3'!A1" display="ADU-3"/>
    <hyperlink ref="I15" location="'ADU-21'!A1" display="ADU-21"/>
    <hyperlink ref="B20:B21" location="'ADO-11'!A1" display="'ADO-11'!A1"/>
    <hyperlink ref="B20" location="'ADO-6'!A1" display="ADO-6"/>
    <hyperlink ref="R15" location="'ADA-1'!A1" display="ADA-1"/>
    <hyperlink ref="R16" location="'ADA-2'!A1" display="ADA-2"/>
    <hyperlink ref="R17" location="'ADA-3'!A1" display="ADA-3"/>
    <hyperlink ref="R18" location="'ADA-4'!A1" display="ADA-4"/>
    <hyperlink ref="R19" location="'ADA-5'!A1" display="ADA-5"/>
    <hyperlink ref="R20" location="'ADA-6'!A1" display="ADA-6"/>
    <hyperlink ref="R21" location="'ADA-7'!A1" display="ADA-7"/>
    <hyperlink ref="R22" location="'ADA-8'!A1" display="ADA-8"/>
    <hyperlink ref="R23" location="'ADA-9'!A1" display="ADA-9"/>
    <hyperlink ref="R24" location="'ADA-10'!A1" display="ADA-10"/>
    <hyperlink ref="S15" location="'ADA-11'!A1" display="ADA-11"/>
    <hyperlink ref="S16" location="'ADA-12'!A1" display="ADA-12"/>
    <hyperlink ref="S17" location="'ADA-13'!A1" display="ADA-13"/>
    <hyperlink ref="T15" location="'ADA-20'!A1" display="ADA-20"/>
    <hyperlink ref="D16:D23" location="'ADO-7'!A1" display="'ADO-7'!A1"/>
    <hyperlink ref="D16" location="'ADO-21'!A1" display="ADO-21"/>
    <hyperlink ref="D17" location="'ADO-22'!A1" display="ADO-22"/>
    <hyperlink ref="D18" location="'ADO-23'!A1" display="ADO-23"/>
    <hyperlink ref="D19" location="'ADO-24'!A1" display="ADO-24"/>
    <hyperlink ref="D20" location="'ADO-25'!A1" display="ADO-25"/>
    <hyperlink ref="D21" location="'ADO-26'!A1" display="ADO-26"/>
    <hyperlink ref="D22" location="'ADO-27'!A1" display="ADO-27"/>
    <hyperlink ref="D23" location="'ADO-28'!A1" display="ADO-28"/>
    <hyperlink ref="G18" location="'ADU-4'!A1" display="ADU-4"/>
    <hyperlink ref="G21" location="'ADU-7'!A1" display="ADU-7"/>
    <hyperlink ref="G24" location="'ADU-10'!A1" display="ADU-10"/>
    <hyperlink ref="G19" location="'ADU-5'!A1" display="ADU-5"/>
    <hyperlink ref="G22" location="'ADU-8'!A1" display="ADU-8"/>
    <hyperlink ref="G20" location="'ADU-6'!A1" display="ADU-6"/>
    <hyperlink ref="G23" location="'ADU-9'!A1" display="ADU-9"/>
    <hyperlink ref="H15" location="'ADU-11'!A1" display="ADU-11"/>
    <hyperlink ref="I16:I18" location="'ADU-21'!A1" display="'ADU-21'!A1"/>
    <hyperlink ref="T16:T18" location="'ADA-14'!A1" display="ADA-14"/>
    <hyperlink ref="H16" location="'ADU-12'!A1" display="ADU-12"/>
    <hyperlink ref="H17" location="'ADU-13'!A1" display="ADU-13"/>
    <hyperlink ref="H18" location="'ADU-14'!A1" display="ADU-14"/>
    <hyperlink ref="H19" location="'ADU-15'!A1" display="ADU-15"/>
    <hyperlink ref="H20" location="'ADU-16'!A1" display="ADU-16"/>
    <hyperlink ref="H21" location="'ADU-17'!A1" display="ADU-17"/>
    <hyperlink ref="H22" location="'ADU-18'!A1" display="ADU-18"/>
    <hyperlink ref="H23" location="'ADU-19'!A1" display="ADU-19"/>
    <hyperlink ref="H24" location="'ADU-20'!A1" display="ADU-20"/>
    <hyperlink ref="I16" location="'ADU-22'!A1" display="ADU-22"/>
    <hyperlink ref="I17" location="'ADU-23'!A1" display="ADU-23"/>
    <hyperlink ref="I18" location="'ADU-24'!A1" display="ADU-24"/>
    <hyperlink ref="J15" location="'ADU-50'!A1" display="ADU-50"/>
    <hyperlink ref="J16" location="'ADU-51'!A1" display="ADU-51"/>
    <hyperlink ref="J17" location="'ADU-52'!A1" display="ADU-52"/>
    <hyperlink ref="J18" location="'ADU-53'!A1" display="ADU-53"/>
    <hyperlink ref="J19" location="'ADU-54'!A1" display="ADU-54"/>
    <hyperlink ref="J20" location="'ADU-55'!A1" display="ADU-55"/>
    <hyperlink ref="J21" location="'ADU-56'!A1" display="ADU-56"/>
    <hyperlink ref="L15" location="'ADU-70'!A1" display="ADU-70"/>
    <hyperlink ref="L16" location="'ADU-71'!A1" display="ADU-71"/>
    <hyperlink ref="L17" location="'ADU-72'!A1" display="ADU-72"/>
    <hyperlink ref="L18" location="'ADU-73'!A1" display="ADU-73"/>
    <hyperlink ref="L19" location="'ADU-74'!A1" display="ADU-74"/>
    <hyperlink ref="L20" location="'ADU-75'!A1" display="ADU-75"/>
    <hyperlink ref="L21" location="'ADU-76'!A1" display="ADU-76"/>
    <hyperlink ref="O15" location="'ADU-100'!A1" display="ADU-100"/>
    <hyperlink ref="M15" location="'ADU-80'!A1" display="ADU-80"/>
    <hyperlink ref="M16" location="'ADU-81'!A1" display="ADU-81"/>
    <hyperlink ref="M17" location="'ADU-82'!A1" display="ADU-82"/>
    <hyperlink ref="N15" location="'ADU-90'!A1" display="ADU-90"/>
    <hyperlink ref="N16" location="'ADU-91'!A1" display="ADU-91"/>
    <hyperlink ref="N17" location="'ADU-92'!A1" display="ADU-92"/>
    <hyperlink ref="O16" location="'ADU-101'!A1" display="ADU-101"/>
    <hyperlink ref="O17" location="'ADU-102'!A1" display="ADU-102"/>
    <hyperlink ref="N18" location="'ADU-93'!A1" display="ADU-93"/>
    <hyperlink ref="P16" location="'ADU-121'!A1" display="ADU-121"/>
    <hyperlink ref="P17" location="'ADU-122'!A1" display="ADU-122"/>
    <hyperlink ref="P18" location="'ADU-123'!A1" display="ADU-123"/>
    <hyperlink ref="P19" location="'ADU-124'!A1" display="ADU-124"/>
    <hyperlink ref="Q15" location="'ADU-140'!A1" display="ADU-140"/>
    <hyperlink ref="T16" location="'ADA-21'!A1" display="ADA-21"/>
    <hyperlink ref="T17" location="'ADA-22'!A1" display="ADA-22"/>
    <hyperlink ref="T18" location="'ADA-23'!A1" display="ADA-23"/>
    <hyperlink ref="I20" location="'ADU-30'!A1" display="ADU-30"/>
    <hyperlink ref="I21" location="'ADU-31'!A1" display="ADU-31"/>
    <hyperlink ref="I22" location="'ADU-32'!A1" display="ADU-32"/>
    <hyperlink ref="I23" location="'ADU-33'!A1" display="ADU-33"/>
    <hyperlink ref="M18" location="'ADU-83'!A1" display="ADU-83"/>
    <hyperlink ref="L22" location="'ADU-77'!A1" display="ADU-77"/>
    <hyperlink ref="B21" location="'ADO-7'!A1" display="ADO-7"/>
    <hyperlink ref="B22" location="'ADO-8'!A1" display="ADO-8"/>
    <hyperlink ref="B23" location="'ADO-9'!A1" display="ADO-9"/>
    <hyperlink ref="D24" location="'ADO-29'!A1" display="ADO-29"/>
    <hyperlink ref="E15" location="'ADO-30'!A1" display="ADO-30"/>
    <hyperlink ref="E16" location="'ADO-31'!A1" display="ADO-31"/>
    <hyperlink ref="E17" location="'ADO-32'!A1" display="ADO-32"/>
    <hyperlink ref="E18" location="'ADO-33'!A1" display="ADO-33"/>
    <hyperlink ref="O18" location="'ADU-103'!A1" display="ADU-103"/>
    <hyperlink ref="I19" location="'ADU-25'!A1" display="ADU-25"/>
    <hyperlink ref="N19" location="'ADU-94'!A1" display="ADU-94"/>
    <hyperlink ref="N20" location="'ADU-95'!A1" display="ADU-95"/>
    <hyperlink ref="K15" location="'ADU-60'!A1" display="ADU-60"/>
    <hyperlink ref="J24" location="'ADU-59'!A1" display="ADU-59"/>
    <hyperlink ref="J23" location="'ADU-58'!A1" display="ADU-58"/>
    <hyperlink ref="J22" location="'ADU-57'!A1" display="ADU-57"/>
    <hyperlink ref="B24" location="'ADO-10'!A1" display="ADO-10"/>
    <hyperlink ref="C15" location="'ADO-11'!A1" display="ADO-11"/>
    <hyperlink ref="E19" location="'ADO-34'!A1" display="ADO-34"/>
    <hyperlink ref="E20" location="'ADO-35'!A1" display="ADO-35"/>
    <hyperlink ref="K16" location="'ADU-61'!A1" display="ADU-61"/>
  </hyperlinks>
  <pageMargins left="0.70866141732283472" right="0.70866141732283472" top="0.74803149606299213" bottom="0.74803149606299213" header="0.31496062992125984" footer="0.31496062992125984"/>
  <pageSetup paperSize="9" scale="83"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2"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1001" t="s">
        <v>937</v>
      </c>
      <c r="B1" s="1001"/>
      <c r="C1" s="1001"/>
      <c r="D1" s="1001"/>
      <c r="E1" s="1001"/>
      <c r="F1" s="7"/>
      <c r="G1" s="7"/>
      <c r="H1" s="7"/>
    </row>
    <row r="2" spans="1:28" ht="19.5" customHeight="1" x14ac:dyDescent="0.25">
      <c r="A2" s="412" t="s">
        <v>750</v>
      </c>
      <c r="B2" s="1002" t="s">
        <v>1022</v>
      </c>
      <c r="C2" s="1002"/>
      <c r="D2" s="1002"/>
      <c r="E2" s="1002"/>
      <c r="F2" s="7"/>
      <c r="G2" s="986" t="s">
        <v>751</v>
      </c>
      <c r="H2" s="986"/>
    </row>
    <row r="3" spans="1:28" ht="19.5" customHeight="1" x14ac:dyDescent="0.25">
      <c r="A3" s="579" t="s">
        <v>743</v>
      </c>
      <c r="B3" s="987" t="s">
        <v>434</v>
      </c>
      <c r="C3" s="987"/>
      <c r="D3" s="987"/>
      <c r="E3" s="987"/>
      <c r="F3" s="7"/>
      <c r="G3" s="986" t="s">
        <v>752</v>
      </c>
      <c r="H3" s="986"/>
    </row>
    <row r="4" spans="1:28" ht="19.5" customHeight="1" x14ac:dyDescent="0.25">
      <c r="A4" s="580" t="s">
        <v>292</v>
      </c>
      <c r="B4" s="996" t="s">
        <v>31</v>
      </c>
      <c r="C4" s="996"/>
      <c r="D4" s="996"/>
      <c r="E4" s="996"/>
      <c r="F4" s="7"/>
      <c r="G4" s="986" t="s">
        <v>753</v>
      </c>
      <c r="H4" s="986"/>
    </row>
    <row r="5" spans="1:28" ht="19.5" customHeight="1" x14ac:dyDescent="0.25">
      <c r="A5" s="580"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584"/>
      <c r="J7" s="584"/>
      <c r="Z7" s="581"/>
      <c r="AA7" s="582"/>
      <c r="AB7" s="357"/>
    </row>
    <row r="8" spans="1:28" ht="24" customHeight="1" x14ac:dyDescent="0.25">
      <c r="A8" s="589" t="s">
        <v>1</v>
      </c>
      <c r="B8" s="996" t="s">
        <v>32</v>
      </c>
      <c r="C8" s="996"/>
      <c r="D8" s="996"/>
      <c r="E8" s="996"/>
      <c r="G8" s="997" t="s">
        <v>936</v>
      </c>
      <c r="Z8" s="1028" t="s">
        <v>611</v>
      </c>
      <c r="AA8" s="1029"/>
      <c r="AB8" s="357">
        <v>0.26819999999999999</v>
      </c>
    </row>
    <row r="9" spans="1:28" ht="24" customHeight="1" x14ac:dyDescent="0.25">
      <c r="A9" s="589" t="s">
        <v>0</v>
      </c>
      <c r="B9" s="996" t="s">
        <v>1103</v>
      </c>
      <c r="C9" s="996"/>
      <c r="D9" s="996"/>
      <c r="E9" s="996"/>
      <c r="G9" s="997"/>
      <c r="Z9" s="1028" t="s">
        <v>612</v>
      </c>
      <c r="AA9" s="1029"/>
      <c r="AB9" s="357">
        <v>3.1300000000000001E-2</v>
      </c>
    </row>
    <row r="10" spans="1:28" ht="90" customHeight="1" x14ac:dyDescent="0.25">
      <c r="A10" s="589" t="s">
        <v>2</v>
      </c>
      <c r="B10" s="1008" t="s">
        <v>1019</v>
      </c>
      <c r="C10" s="1009"/>
      <c r="D10" s="1009"/>
      <c r="E10" s="1009"/>
      <c r="G10" s="997"/>
      <c r="H10" s="7"/>
      <c r="Z10" s="1028"/>
      <c r="AA10" s="1029"/>
      <c r="AB10" s="357"/>
    </row>
    <row r="11" spans="1:28" ht="54" customHeight="1" x14ac:dyDescent="0.25">
      <c r="A11" s="589" t="s">
        <v>29</v>
      </c>
      <c r="B11" s="1031" t="s">
        <v>1020</v>
      </c>
      <c r="C11" s="1032"/>
      <c r="D11" s="1032"/>
      <c r="E11" s="1033"/>
      <c r="G11" s="254">
        <v>5000</v>
      </c>
      <c r="H11" s="225" t="s">
        <v>25</v>
      </c>
      <c r="Z11" s="1028" t="s">
        <v>613</v>
      </c>
      <c r="AA11" s="1029"/>
      <c r="AB11" s="357">
        <v>0.26819999999999999</v>
      </c>
    </row>
    <row r="12" spans="1:28" ht="30" customHeight="1" x14ac:dyDescent="0.25">
      <c r="A12" s="589" t="s">
        <v>14</v>
      </c>
      <c r="B12" s="1010" t="s">
        <v>939</v>
      </c>
      <c r="C12" s="1010"/>
      <c r="D12" s="1010"/>
      <c r="E12" s="1010"/>
      <c r="G12" s="225"/>
      <c r="H12" s="225" t="s">
        <v>7</v>
      </c>
      <c r="Z12" s="1028" t="s">
        <v>614</v>
      </c>
      <c r="AA12" s="1029"/>
      <c r="AB12" s="357">
        <v>1.18E-2</v>
      </c>
    </row>
    <row r="13" spans="1:28" ht="30" customHeight="1" x14ac:dyDescent="0.25">
      <c r="A13" s="589" t="s">
        <v>3</v>
      </c>
      <c r="B13" s="1011" t="s">
        <v>943</v>
      </c>
      <c r="C13" s="1011"/>
      <c r="D13" s="1011"/>
      <c r="E13" s="1011"/>
      <c r="Z13" s="1028" t="s">
        <v>615</v>
      </c>
      <c r="AA13" s="1029"/>
      <c r="AB13" s="358">
        <v>0.36854545454545451</v>
      </c>
    </row>
    <row r="14" spans="1:28" ht="30" customHeight="1" x14ac:dyDescent="0.25">
      <c r="A14" s="589" t="s">
        <v>15</v>
      </c>
      <c r="B14" s="1067" t="s">
        <v>1021</v>
      </c>
      <c r="C14" s="1010"/>
      <c r="D14" s="1010"/>
      <c r="E14" s="1010"/>
      <c r="Z14" s="1028" t="s">
        <v>616</v>
      </c>
      <c r="AA14" s="1029"/>
      <c r="AB14" s="357">
        <v>0.26819999999999999</v>
      </c>
    </row>
    <row r="15" spans="1:28" ht="30" customHeight="1" x14ac:dyDescent="0.25">
      <c r="A15" s="589" t="s">
        <v>4</v>
      </c>
      <c r="B15" s="1010">
        <v>2019</v>
      </c>
      <c r="C15" s="1010"/>
      <c r="D15" s="1010"/>
      <c r="E15" s="1010"/>
      <c r="F15" s="33"/>
      <c r="Z15" s="1028" t="s">
        <v>578</v>
      </c>
      <c r="AA15" s="1029"/>
      <c r="AB15" s="357">
        <v>0.27700000000000002</v>
      </c>
    </row>
    <row r="16" spans="1:28" ht="30" customHeight="1" x14ac:dyDescent="0.25">
      <c r="A16" s="589" t="s">
        <v>5</v>
      </c>
      <c r="B16" s="1010">
        <v>2022</v>
      </c>
      <c r="C16" s="1010"/>
      <c r="D16" s="1010"/>
      <c r="E16" s="1010"/>
      <c r="F16" s="33"/>
      <c r="Z16" s="1028" t="s">
        <v>579</v>
      </c>
      <c r="AA16" s="1029"/>
      <c r="AB16" s="357">
        <v>0.20269999999999999</v>
      </c>
    </row>
    <row r="17" spans="1:9" ht="30" customHeight="1" x14ac:dyDescent="0.25">
      <c r="A17" s="589" t="s">
        <v>6</v>
      </c>
      <c r="B17" s="1000">
        <f>G11</f>
        <v>5000</v>
      </c>
      <c r="C17" s="1000"/>
      <c r="D17" s="1000"/>
      <c r="E17" s="1000"/>
      <c r="F17" s="34"/>
    </row>
    <row r="18" spans="1:9" ht="30" customHeight="1" x14ac:dyDescent="0.25">
      <c r="A18" s="589" t="s">
        <v>7</v>
      </c>
      <c r="B18" s="1000">
        <f>SUM(G12:L12)</f>
        <v>0</v>
      </c>
      <c r="C18" s="1000"/>
      <c r="D18" s="1000"/>
      <c r="E18" s="1000"/>
      <c r="F18" s="35"/>
    </row>
    <row r="19" spans="1:9" ht="30" customHeight="1" x14ac:dyDescent="0.25">
      <c r="A19" s="99" t="s">
        <v>307</v>
      </c>
      <c r="B19" s="1039"/>
      <c r="C19" s="1040"/>
      <c r="D19" s="1040"/>
      <c r="E19" s="1040"/>
      <c r="F19" s="33"/>
      <c r="H19" s="2"/>
    </row>
    <row r="20" spans="1:9" ht="30" customHeight="1" x14ac:dyDescent="0.25">
      <c r="A20" s="96" t="s">
        <v>306</v>
      </c>
      <c r="B20" s="1043"/>
      <c r="C20" s="1043"/>
      <c r="D20" s="1043"/>
      <c r="E20" s="1043"/>
      <c r="F20" s="36"/>
      <c r="H20" s="2"/>
    </row>
    <row r="21" spans="1:9" ht="30" customHeight="1" x14ac:dyDescent="0.25">
      <c r="A21" s="589" t="s">
        <v>8</v>
      </c>
      <c r="B21" s="1000">
        <v>1</v>
      </c>
      <c r="C21" s="1000"/>
      <c r="D21" s="1000"/>
      <c r="E21" s="1000"/>
      <c r="F21" s="33"/>
    </row>
    <row r="22" spans="1:9" ht="30" customHeight="1" x14ac:dyDescent="0.25">
      <c r="A22" s="589" t="s">
        <v>9</v>
      </c>
      <c r="B22" s="1000"/>
      <c r="C22" s="1000"/>
      <c r="D22" s="1000"/>
      <c r="E22" s="1000"/>
      <c r="F22" s="37"/>
    </row>
    <row r="23" spans="1:9" ht="30" customHeight="1" x14ac:dyDescent="0.25">
      <c r="A23" s="589" t="s">
        <v>301</v>
      </c>
      <c r="B23" s="1016">
        <f>B17/(B21+B22)</f>
        <v>5000</v>
      </c>
      <c r="C23" s="1016"/>
      <c r="D23" s="1016"/>
      <c r="E23" s="1016"/>
      <c r="F23" s="37"/>
    </row>
    <row r="24" spans="1:9" ht="30" customHeight="1" x14ac:dyDescent="0.25">
      <c r="A24" s="589" t="s">
        <v>302</v>
      </c>
      <c r="B24" s="1017">
        <f>(B17-B18)/(B21+B22)</f>
        <v>5000</v>
      </c>
      <c r="C24" s="1017"/>
      <c r="D24" s="1017"/>
      <c r="E24" s="1017"/>
      <c r="F24" s="38"/>
    </row>
    <row r="25" spans="1:9" ht="30" customHeight="1" x14ac:dyDescent="0.25">
      <c r="A25" s="100" t="s">
        <v>305</v>
      </c>
      <c r="B25" s="1030">
        <v>0</v>
      </c>
      <c r="C25" s="1030"/>
      <c r="D25" s="1030"/>
      <c r="E25" s="1030"/>
      <c r="F25" s="39"/>
    </row>
    <row r="26" spans="1:9" ht="30" customHeight="1" x14ac:dyDescent="0.25">
      <c r="A26" s="101" t="s">
        <v>303</v>
      </c>
      <c r="B26" s="1021">
        <f>B25/'Objectifs CO2'!C11</f>
        <v>0</v>
      </c>
      <c r="C26" s="1021"/>
      <c r="D26" s="1021"/>
      <c r="E26" s="1021"/>
      <c r="F26" s="40"/>
    </row>
    <row r="27" spans="1:9" ht="30" customHeight="1" x14ac:dyDescent="0.25">
      <c r="A27" s="101" t="s">
        <v>304</v>
      </c>
      <c r="B27" s="1044">
        <f>B25/'Objectifs CO2'!C4</f>
        <v>0</v>
      </c>
      <c r="C27" s="1045"/>
      <c r="D27" s="1045"/>
      <c r="E27" s="1045"/>
      <c r="F27" s="41"/>
    </row>
    <row r="28" spans="1:9" ht="30" customHeight="1" x14ac:dyDescent="0.25">
      <c r="A28" s="101" t="s">
        <v>22</v>
      </c>
      <c r="B28" s="999"/>
      <c r="C28" s="999"/>
      <c r="D28" s="999"/>
      <c r="E28" s="999"/>
    </row>
    <row r="29" spans="1:9" ht="30" customHeight="1" x14ac:dyDescent="0.25">
      <c r="A29" s="101" t="s">
        <v>257</v>
      </c>
      <c r="B29" s="999"/>
      <c r="C29" s="999"/>
      <c r="D29" s="999"/>
      <c r="E29" s="999"/>
    </row>
    <row r="31" spans="1:9" ht="23.25" customHeight="1" x14ac:dyDescent="0.25">
      <c r="A31" s="603" t="s">
        <v>1065</v>
      </c>
      <c r="B31" s="1003" t="s">
        <v>675</v>
      </c>
      <c r="C31" s="1003"/>
      <c r="D31" s="1003"/>
      <c r="E31" s="575" t="s">
        <v>676</v>
      </c>
    </row>
    <row r="32" spans="1:9" ht="23.25" customHeight="1" x14ac:dyDescent="0.25">
      <c r="A32" s="377"/>
      <c r="B32" s="992" t="s">
        <v>677</v>
      </c>
      <c r="C32" s="992"/>
      <c r="D32" s="992"/>
      <c r="E32" s="374"/>
      <c r="G32" s="1004" t="s">
        <v>676</v>
      </c>
      <c r="H32" s="1004"/>
      <c r="I32" s="1004"/>
    </row>
    <row r="33" spans="1:12" ht="23.25" customHeight="1" x14ac:dyDescent="0.25">
      <c r="A33" s="377"/>
      <c r="B33" s="992" t="s">
        <v>678</v>
      </c>
      <c r="C33" s="992"/>
      <c r="D33" s="992"/>
      <c r="E33" s="374"/>
      <c r="G33" s="375">
        <v>3</v>
      </c>
      <c r="H33" s="1004" t="s">
        <v>679</v>
      </c>
      <c r="I33" s="1004"/>
    </row>
    <row r="34" spans="1:12" ht="23.25" customHeight="1" x14ac:dyDescent="0.25">
      <c r="A34" s="377"/>
      <c r="B34" s="992" t="s">
        <v>680</v>
      </c>
      <c r="C34" s="992"/>
      <c r="D34" s="992"/>
      <c r="E34" s="374"/>
      <c r="G34" s="375">
        <v>2</v>
      </c>
      <c r="H34" s="1004" t="s">
        <v>681</v>
      </c>
      <c r="I34" s="1004"/>
    </row>
    <row r="35" spans="1:12" ht="23.25" customHeight="1" x14ac:dyDescent="0.25">
      <c r="A35" s="377"/>
      <c r="B35" s="992" t="s">
        <v>682</v>
      </c>
      <c r="C35" s="992"/>
      <c r="D35" s="992"/>
      <c r="E35" s="374"/>
      <c r="G35" s="375">
        <v>1</v>
      </c>
      <c r="H35" s="1004" t="s">
        <v>683</v>
      </c>
      <c r="I35" s="1004"/>
    </row>
    <row r="36" spans="1:12" ht="23.25" customHeight="1" x14ac:dyDescent="0.25">
      <c r="A36" s="377"/>
      <c r="B36" s="992" t="s">
        <v>684</v>
      </c>
      <c r="C36" s="992"/>
      <c r="D36" s="992"/>
      <c r="E36" s="374"/>
    </row>
    <row r="37" spans="1:12" ht="23.25" customHeight="1" x14ac:dyDescent="0.25">
      <c r="A37" s="377"/>
      <c r="B37" s="992" t="s">
        <v>685</v>
      </c>
      <c r="C37" s="992"/>
      <c r="D37" s="992"/>
      <c r="E37" s="374"/>
    </row>
    <row r="38" spans="1:12" ht="23.25" customHeight="1" x14ac:dyDescent="0.25">
      <c r="A38" s="377"/>
      <c r="B38" s="992" t="s">
        <v>686</v>
      </c>
      <c r="C38" s="992"/>
      <c r="D38" s="992"/>
      <c r="E38" s="374"/>
    </row>
    <row r="39" spans="1:12" ht="23.25" customHeight="1" x14ac:dyDescent="0.25">
      <c r="A39" s="377"/>
      <c r="B39" s="992" t="s">
        <v>687</v>
      </c>
      <c r="C39" s="992"/>
      <c r="D39" s="992"/>
      <c r="E39" s="374"/>
    </row>
    <row r="40" spans="1:12" ht="23.25" customHeight="1" x14ac:dyDescent="0.25">
      <c r="A40" s="377"/>
      <c r="B40" s="992" t="s">
        <v>688</v>
      </c>
      <c r="C40" s="992"/>
      <c r="D40" s="992"/>
      <c r="E40" s="374"/>
      <c r="G40" s="1005" t="s">
        <v>689</v>
      </c>
      <c r="H40" s="1005"/>
      <c r="I40" s="1005"/>
    </row>
    <row r="41" spans="1:12" ht="23.25" customHeight="1" x14ac:dyDescent="0.25">
      <c r="A41" s="377"/>
      <c r="B41" s="992" t="s">
        <v>843</v>
      </c>
      <c r="C41" s="992"/>
      <c r="D41" s="992"/>
      <c r="E41" s="374"/>
      <c r="G41" s="377" t="s">
        <v>690</v>
      </c>
      <c r="H41" s="378" t="s">
        <v>691</v>
      </c>
      <c r="I41" s="377" t="s">
        <v>692</v>
      </c>
    </row>
    <row r="42" spans="1:12" ht="23.25" customHeight="1" x14ac:dyDescent="0.25">
      <c r="A42" s="377"/>
      <c r="B42" s="988" t="s">
        <v>247</v>
      </c>
      <c r="C42" s="988"/>
      <c r="D42" s="988"/>
      <c r="E42" s="376">
        <f>SUM(E32:E40)</f>
        <v>0</v>
      </c>
      <c r="G42" s="377" t="s">
        <v>693</v>
      </c>
      <c r="H42" s="377" t="s">
        <v>694</v>
      </c>
      <c r="I42" s="377" t="s">
        <v>695</v>
      </c>
    </row>
    <row r="43" spans="1:12" ht="23.25" customHeight="1" x14ac:dyDescent="0.25">
      <c r="E43" s="94" t="s">
        <v>730</v>
      </c>
    </row>
    <row r="44" spans="1:12" ht="23.25" customHeight="1" x14ac:dyDescent="0.25">
      <c r="B44" s="989" t="s">
        <v>696</v>
      </c>
      <c r="C44" s="990"/>
      <c r="D44" s="991"/>
      <c r="E44" s="267">
        <v>1</v>
      </c>
      <c r="G44" s="377">
        <v>1</v>
      </c>
      <c r="H44" s="377" t="s">
        <v>697</v>
      </c>
    </row>
    <row r="45" spans="1:12" ht="23.25" customHeight="1"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t="s">
        <v>985</v>
      </c>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B44:D44"/>
    <mergeCell ref="G46:L46"/>
    <mergeCell ref="A47:A51"/>
    <mergeCell ref="B47:F47"/>
    <mergeCell ref="G47:L47"/>
    <mergeCell ref="B48:F48"/>
    <mergeCell ref="G48:L48"/>
    <mergeCell ref="B49:F49"/>
    <mergeCell ref="G49:L49"/>
    <mergeCell ref="B50:F50"/>
    <mergeCell ref="G50:L50"/>
    <mergeCell ref="B51:F51"/>
    <mergeCell ref="G51:L51"/>
    <mergeCell ref="B38:D38"/>
    <mergeCell ref="B39:D39"/>
    <mergeCell ref="B40:D40"/>
    <mergeCell ref="G40:I40"/>
    <mergeCell ref="B41:D41"/>
    <mergeCell ref="B42:D42"/>
    <mergeCell ref="B34:D34"/>
    <mergeCell ref="H34:I34"/>
    <mergeCell ref="B35:D35"/>
    <mergeCell ref="H35:I35"/>
    <mergeCell ref="B36:D36"/>
    <mergeCell ref="B37:D37"/>
    <mergeCell ref="B29:E29"/>
    <mergeCell ref="B31:D31"/>
    <mergeCell ref="B32:D32"/>
    <mergeCell ref="G32:I32"/>
    <mergeCell ref="B33:D33"/>
    <mergeCell ref="H33:I33"/>
    <mergeCell ref="B23:E23"/>
    <mergeCell ref="B24:E24"/>
    <mergeCell ref="B25:E25"/>
    <mergeCell ref="B26:E26"/>
    <mergeCell ref="B27:E27"/>
    <mergeCell ref="B28:E28"/>
    <mergeCell ref="B17:E17"/>
    <mergeCell ref="B18:E18"/>
    <mergeCell ref="B19:E19"/>
    <mergeCell ref="B20:E20"/>
    <mergeCell ref="B21:E21"/>
    <mergeCell ref="B22:E22"/>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290" priority="1" operator="containsText" text="Terminé">
      <formula>NOT(ISERROR(SEARCH("Terminé",B5)))</formula>
    </cfRule>
    <cfRule type="containsText" dxfId="289" priority="2" operator="containsText" text="En cours">
      <formula>NOT(ISERROR(SEARCH("En cours",B5)))</formula>
    </cfRule>
    <cfRule type="containsText" dxfId="28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 ref="B14" r:id="rId1"/>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showRuler="0" topLeftCell="E10" zoomScale="175" zoomScaleNormal="175"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2" t="s">
        <v>750</v>
      </c>
      <c r="B2" s="1002" t="s">
        <v>779</v>
      </c>
      <c r="C2" s="1002"/>
      <c r="D2" s="1002"/>
      <c r="E2" s="1002"/>
      <c r="F2" s="7"/>
      <c r="G2" s="986" t="s">
        <v>751</v>
      </c>
      <c r="H2" s="986"/>
    </row>
    <row r="3" spans="1:28" ht="19.5" customHeight="1" x14ac:dyDescent="0.25">
      <c r="A3" s="409" t="s">
        <v>743</v>
      </c>
      <c r="B3" s="987" t="s">
        <v>742</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76</v>
      </c>
      <c r="C8" s="967"/>
      <c r="D8" s="967"/>
      <c r="E8" s="967"/>
      <c r="G8" s="997" t="s">
        <v>936</v>
      </c>
      <c r="Z8" s="1028" t="s">
        <v>611</v>
      </c>
      <c r="AA8" s="1029"/>
      <c r="AB8" s="357">
        <v>0.26819999999999999</v>
      </c>
    </row>
    <row r="9" spans="1:28" ht="24" customHeight="1" x14ac:dyDescent="0.25">
      <c r="A9" s="98" t="s">
        <v>0</v>
      </c>
      <c r="B9" s="967" t="s">
        <v>757</v>
      </c>
      <c r="C9" s="967"/>
      <c r="D9" s="967"/>
      <c r="E9" s="967"/>
      <c r="G9" s="997"/>
      <c r="Z9" s="1028" t="s">
        <v>612</v>
      </c>
      <c r="AA9" s="1029"/>
      <c r="AB9" s="357">
        <v>3.1300000000000001E-2</v>
      </c>
    </row>
    <row r="10" spans="1:28" ht="46.5" customHeight="1" x14ac:dyDescent="0.25">
      <c r="A10" s="98" t="s">
        <v>2</v>
      </c>
      <c r="B10" s="1008" t="s">
        <v>855</v>
      </c>
      <c r="C10" s="1008"/>
      <c r="D10" s="1008"/>
      <c r="E10" s="1008"/>
      <c r="G10" s="997"/>
      <c r="H10" s="7"/>
      <c r="Z10" s="1028"/>
      <c r="AA10" s="1029"/>
      <c r="AB10" s="357"/>
    </row>
    <row r="11" spans="1:28" ht="31.5" customHeight="1" x14ac:dyDescent="0.25">
      <c r="A11" s="98" t="s">
        <v>29</v>
      </c>
      <c r="B11" s="1035"/>
      <c r="C11" s="1035"/>
      <c r="D11" s="1035"/>
      <c r="E11" s="1035"/>
      <c r="G11" s="254">
        <v>2000</v>
      </c>
      <c r="H11" s="225" t="s">
        <v>25</v>
      </c>
      <c r="Z11" s="1028" t="s">
        <v>613</v>
      </c>
      <c r="AA11" s="1029"/>
      <c r="AB11" s="357">
        <v>0.26819999999999999</v>
      </c>
    </row>
    <row r="12" spans="1:28" ht="30" customHeight="1" x14ac:dyDescent="0.25">
      <c r="A12" s="98" t="s">
        <v>14</v>
      </c>
      <c r="B12" s="1010" t="s">
        <v>939</v>
      </c>
      <c r="C12" s="1010"/>
      <c r="D12" s="1010"/>
      <c r="E12" s="1010"/>
      <c r="G12" s="225"/>
      <c r="H12" s="225" t="s">
        <v>7</v>
      </c>
      <c r="Z12" s="1028" t="s">
        <v>614</v>
      </c>
      <c r="AA12" s="1029"/>
      <c r="AB12" s="357">
        <v>1.18E-2</v>
      </c>
    </row>
    <row r="13" spans="1:28" ht="30" customHeight="1" x14ac:dyDescent="0.25">
      <c r="A13" s="98" t="s">
        <v>3</v>
      </c>
      <c r="B13" s="1011" t="s">
        <v>943</v>
      </c>
      <c r="C13" s="1011"/>
      <c r="D13" s="1011"/>
      <c r="E13" s="1011"/>
      <c r="Z13" s="1028" t="s">
        <v>615</v>
      </c>
      <c r="AA13" s="1029"/>
      <c r="AB13" s="358">
        <v>0.36854545454545451</v>
      </c>
    </row>
    <row r="14" spans="1:28" ht="30" customHeight="1" x14ac:dyDescent="0.25">
      <c r="A14" s="98" t="s">
        <v>15</v>
      </c>
      <c r="B14" s="1010"/>
      <c r="C14" s="1010"/>
      <c r="D14" s="1010"/>
      <c r="E14" s="1010"/>
      <c r="Z14" s="1028" t="s">
        <v>616</v>
      </c>
      <c r="AA14" s="1029"/>
      <c r="AB14" s="357">
        <v>0.26819999999999999</v>
      </c>
    </row>
    <row r="15" spans="1:28" ht="30" customHeight="1" x14ac:dyDescent="0.25">
      <c r="A15" s="98" t="s">
        <v>4</v>
      </c>
      <c r="B15" s="1010">
        <v>2020</v>
      </c>
      <c r="C15" s="1010"/>
      <c r="D15" s="1010"/>
      <c r="E15" s="1010"/>
      <c r="Z15" s="1028" t="s">
        <v>578</v>
      </c>
      <c r="AA15" s="1029"/>
      <c r="AB15" s="357">
        <v>0.27700000000000002</v>
      </c>
    </row>
    <row r="16" spans="1:28" ht="30" customHeight="1" x14ac:dyDescent="0.25">
      <c r="A16" s="98" t="s">
        <v>5</v>
      </c>
      <c r="B16" s="1010">
        <v>2022</v>
      </c>
      <c r="C16" s="1010"/>
      <c r="D16" s="1010"/>
      <c r="E16" s="1010"/>
      <c r="Z16" s="1028" t="s">
        <v>579</v>
      </c>
      <c r="AA16" s="1029"/>
      <c r="AB16" s="357">
        <v>0.20269999999999999</v>
      </c>
    </row>
    <row r="17" spans="1:9" ht="30" customHeight="1" x14ac:dyDescent="0.25">
      <c r="A17" s="98" t="s">
        <v>6</v>
      </c>
      <c r="B17" s="1012">
        <f>SUM(G11:L11)</f>
        <v>2000</v>
      </c>
      <c r="C17" s="1012"/>
      <c r="D17" s="1012"/>
      <c r="E17" s="1012"/>
    </row>
    <row r="18" spans="1:9" ht="30" customHeight="1" x14ac:dyDescent="0.25">
      <c r="A18" s="98" t="s">
        <v>7</v>
      </c>
      <c r="B18" s="1012">
        <f>SUM(G12:L12)</f>
        <v>0</v>
      </c>
      <c r="C18" s="1012"/>
      <c r="D18" s="1012"/>
      <c r="E18" s="1012"/>
    </row>
    <row r="19" spans="1:9" ht="30" customHeight="1" x14ac:dyDescent="0.25">
      <c r="A19" s="99" t="s">
        <v>307</v>
      </c>
      <c r="B19" s="1039"/>
      <c r="C19" s="1040"/>
      <c r="D19" s="1040"/>
      <c r="E19" s="1040"/>
    </row>
    <row r="20" spans="1:9" ht="30" customHeight="1" x14ac:dyDescent="0.25">
      <c r="A20" s="96" t="s">
        <v>306</v>
      </c>
      <c r="B20" s="1043"/>
      <c r="C20" s="1043"/>
      <c r="D20" s="1043"/>
      <c r="E20" s="1043"/>
    </row>
    <row r="21" spans="1:9" ht="30" customHeight="1" x14ac:dyDescent="0.25">
      <c r="A21" s="98" t="s">
        <v>8</v>
      </c>
      <c r="B21" s="1000">
        <v>1</v>
      </c>
      <c r="C21" s="1000"/>
      <c r="D21" s="1000"/>
      <c r="E21" s="1000"/>
    </row>
    <row r="22" spans="1:9" ht="30" customHeight="1" x14ac:dyDescent="0.25">
      <c r="A22" s="98" t="s">
        <v>9</v>
      </c>
      <c r="B22" s="1000"/>
      <c r="C22" s="1000"/>
      <c r="D22" s="1000"/>
      <c r="E22" s="1000"/>
    </row>
    <row r="23" spans="1:9" ht="30" customHeight="1" x14ac:dyDescent="0.25">
      <c r="A23" s="98" t="s">
        <v>301</v>
      </c>
      <c r="B23" s="1016">
        <f>B17/(B21+B22)</f>
        <v>2000</v>
      </c>
      <c r="C23" s="1016"/>
      <c r="D23" s="1016"/>
      <c r="E23" s="1016"/>
    </row>
    <row r="24" spans="1:9" ht="30" customHeight="1" x14ac:dyDescent="0.25">
      <c r="A24" s="98" t="s">
        <v>302</v>
      </c>
      <c r="B24" s="1017">
        <f>(B17-B18)/(B21+B22)</f>
        <v>2000</v>
      </c>
      <c r="C24" s="1017"/>
      <c r="D24" s="1017"/>
      <c r="E24" s="1017"/>
    </row>
    <row r="25" spans="1:9" ht="30" customHeight="1" x14ac:dyDescent="0.25">
      <c r="A25" s="100" t="s">
        <v>305</v>
      </c>
      <c r="B25" s="1030">
        <v>0</v>
      </c>
      <c r="C25" s="1030"/>
      <c r="D25" s="1030"/>
      <c r="E25" s="1030"/>
      <c r="G25" s="6">
        <v>0.26100000000000001</v>
      </c>
    </row>
    <row r="26" spans="1:9" ht="30" customHeight="1" x14ac:dyDescent="0.25">
      <c r="A26" s="101" t="s">
        <v>303</v>
      </c>
      <c r="B26" s="1019">
        <f>B25/'Objectifs CO2'!C11</f>
        <v>0</v>
      </c>
      <c r="C26" s="1019"/>
      <c r="D26" s="1019"/>
      <c r="E26" s="1019"/>
    </row>
    <row r="27" spans="1:9" ht="30" customHeight="1" x14ac:dyDescent="0.25">
      <c r="A27" s="101" t="s">
        <v>304</v>
      </c>
      <c r="B27" s="1020">
        <f>B25/'Objectifs CO2'!C4</f>
        <v>0</v>
      </c>
      <c r="C27" s="1021"/>
      <c r="D27" s="1021"/>
      <c r="E27" s="1021"/>
    </row>
    <row r="28" spans="1:9" ht="30" customHeight="1" x14ac:dyDescent="0.25">
      <c r="A28" s="101" t="s">
        <v>22</v>
      </c>
      <c r="B28" s="999"/>
      <c r="C28" s="999"/>
      <c r="D28" s="999"/>
      <c r="E28" s="999"/>
    </row>
    <row r="29" spans="1:9" ht="30" customHeight="1" x14ac:dyDescent="0.25">
      <c r="A29" s="101" t="s">
        <v>257</v>
      </c>
      <c r="B29" s="999" t="s">
        <v>260</v>
      </c>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25:E25"/>
    <mergeCell ref="B26:E26"/>
    <mergeCell ref="B27:E27"/>
    <mergeCell ref="B28:E28"/>
    <mergeCell ref="B23:E23"/>
    <mergeCell ref="B24:E24"/>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A1:E1"/>
    <mergeCell ref="B2:E2"/>
    <mergeCell ref="B31:D31"/>
    <mergeCell ref="B32:D32"/>
    <mergeCell ref="G32:I32"/>
    <mergeCell ref="B33:D33"/>
    <mergeCell ref="H33:I33"/>
    <mergeCell ref="G40:I40"/>
    <mergeCell ref="B34:D34"/>
    <mergeCell ref="H34:I34"/>
    <mergeCell ref="B35:D35"/>
    <mergeCell ref="H35:I35"/>
    <mergeCell ref="B36:D36"/>
    <mergeCell ref="G4:H4"/>
    <mergeCell ref="G5:H5"/>
    <mergeCell ref="B10:E10"/>
    <mergeCell ref="B4:E4"/>
    <mergeCell ref="B5:E5"/>
    <mergeCell ref="B6:E6"/>
    <mergeCell ref="B7:E7"/>
    <mergeCell ref="G7:H7"/>
    <mergeCell ref="B8:E8"/>
    <mergeCell ref="B9:E9"/>
    <mergeCell ref="B16:E16"/>
    <mergeCell ref="G2:H2"/>
    <mergeCell ref="B3:E3"/>
    <mergeCell ref="G3:H3"/>
    <mergeCell ref="B42:D42"/>
    <mergeCell ref="B44:D44"/>
    <mergeCell ref="B37:D37"/>
    <mergeCell ref="B38:D38"/>
    <mergeCell ref="B39:D39"/>
    <mergeCell ref="B40:D40"/>
    <mergeCell ref="B41:D41"/>
    <mergeCell ref="B17:E17"/>
    <mergeCell ref="B12:E12"/>
    <mergeCell ref="B13:E13"/>
    <mergeCell ref="B14:E14"/>
    <mergeCell ref="B15:E15"/>
    <mergeCell ref="G8:G10"/>
    <mergeCell ref="B11:E11"/>
    <mergeCell ref="G6:H6"/>
    <mergeCell ref="B29:E29"/>
    <mergeCell ref="B18:E18"/>
    <mergeCell ref="B19:E19"/>
    <mergeCell ref="B20:E20"/>
    <mergeCell ref="B21:E21"/>
    <mergeCell ref="B22:E22"/>
  </mergeCells>
  <conditionalFormatting sqref="B5">
    <cfRule type="containsText" dxfId="287" priority="1" operator="containsText" text="Terminé">
      <formula>NOT(ISERROR(SEARCH("Terminé",B5)))</formula>
    </cfRule>
    <cfRule type="containsText" dxfId="286" priority="2" operator="containsText" text="En cours">
      <formula>NOT(ISERROR(SEARCH("En cours",B5)))</formula>
    </cfRule>
    <cfRule type="containsText" dxfId="28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6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4" zoomScale="115" zoomScaleNormal="115"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2" t="s">
        <v>750</v>
      </c>
      <c r="B2" s="1002" t="s">
        <v>780</v>
      </c>
      <c r="C2" s="1002"/>
      <c r="D2" s="1002"/>
      <c r="E2" s="1002"/>
      <c r="F2" s="7"/>
      <c r="G2" s="986" t="s">
        <v>751</v>
      </c>
      <c r="H2" s="986"/>
    </row>
    <row r="3" spans="1:28" ht="19.5" customHeight="1" x14ac:dyDescent="0.25">
      <c r="A3" s="409" t="s">
        <v>743</v>
      </c>
      <c r="B3" s="987" t="s">
        <v>742</v>
      </c>
      <c r="C3" s="987"/>
      <c r="D3" s="987"/>
      <c r="E3" s="987"/>
      <c r="F3" s="7"/>
      <c r="G3" s="986" t="s">
        <v>752</v>
      </c>
      <c r="H3" s="986"/>
    </row>
    <row r="4" spans="1:28" ht="19.5" customHeight="1" x14ac:dyDescent="0.25">
      <c r="A4" s="403" t="s">
        <v>292</v>
      </c>
      <c r="B4" s="996" t="s">
        <v>380</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1302</v>
      </c>
      <c r="C8" s="967"/>
      <c r="D8" s="967"/>
      <c r="E8" s="967"/>
      <c r="G8" s="997" t="s">
        <v>936</v>
      </c>
      <c r="Z8" s="1028" t="s">
        <v>611</v>
      </c>
      <c r="AA8" s="1029"/>
      <c r="AB8" s="357">
        <v>0.26819999999999999</v>
      </c>
    </row>
    <row r="9" spans="1:28" ht="24" customHeight="1" x14ac:dyDescent="0.25">
      <c r="A9" s="98" t="s">
        <v>0</v>
      </c>
      <c r="B9" s="996" t="s">
        <v>856</v>
      </c>
      <c r="C9" s="996"/>
      <c r="D9" s="996"/>
      <c r="E9" s="996"/>
      <c r="G9" s="997"/>
      <c r="Z9" s="1028" t="s">
        <v>612</v>
      </c>
      <c r="AA9" s="1029"/>
      <c r="AB9" s="357">
        <v>3.1300000000000001E-2</v>
      </c>
    </row>
    <row r="10" spans="1:28" ht="72" customHeight="1" x14ac:dyDescent="0.25">
      <c r="A10" s="98" t="s">
        <v>2</v>
      </c>
      <c r="B10" s="1008" t="s">
        <v>961</v>
      </c>
      <c r="C10" s="1008"/>
      <c r="D10" s="1008"/>
      <c r="E10" s="1008"/>
      <c r="G10" s="997"/>
      <c r="H10" s="7"/>
      <c r="Z10" s="1028"/>
      <c r="AA10" s="1029"/>
      <c r="AB10" s="357"/>
    </row>
    <row r="11" spans="1:28" ht="24" customHeight="1" x14ac:dyDescent="0.25">
      <c r="A11" s="98" t="s">
        <v>29</v>
      </c>
      <c r="B11" s="1009" t="s">
        <v>857</v>
      </c>
      <c r="C11" s="1009"/>
      <c r="D11" s="1009"/>
      <c r="E11" s="1009"/>
      <c r="G11" s="254">
        <v>2000</v>
      </c>
      <c r="H11" s="225" t="s">
        <v>25</v>
      </c>
      <c r="Z11" s="1028" t="s">
        <v>613</v>
      </c>
      <c r="AA11" s="1029"/>
      <c r="AB11" s="357">
        <v>0.26819999999999999</v>
      </c>
    </row>
    <row r="12" spans="1:28" ht="30" customHeight="1" x14ac:dyDescent="0.25">
      <c r="A12" s="98" t="s">
        <v>14</v>
      </c>
      <c r="B12" s="1010" t="s">
        <v>939</v>
      </c>
      <c r="C12" s="1010"/>
      <c r="D12" s="1010"/>
      <c r="E12" s="1010"/>
      <c r="G12" s="225"/>
      <c r="H12" s="225" t="s">
        <v>7</v>
      </c>
      <c r="Z12" s="1028" t="s">
        <v>614</v>
      </c>
      <c r="AA12" s="1029"/>
      <c r="AB12" s="357">
        <v>1.18E-2</v>
      </c>
    </row>
    <row r="13" spans="1:28" ht="30" customHeight="1" x14ac:dyDescent="0.25">
      <c r="A13" s="98" t="s">
        <v>3</v>
      </c>
      <c r="B13" s="1011" t="s">
        <v>943</v>
      </c>
      <c r="C13" s="1011"/>
      <c r="D13" s="1011"/>
      <c r="E13" s="1011"/>
      <c r="Z13" s="1028" t="s">
        <v>615</v>
      </c>
      <c r="AA13" s="1029"/>
      <c r="AB13" s="358">
        <v>0.36854545454545451</v>
      </c>
    </row>
    <row r="14" spans="1:28" ht="30" customHeight="1" x14ac:dyDescent="0.25">
      <c r="A14" s="98" t="s">
        <v>15</v>
      </c>
      <c r="B14" s="1010" t="s">
        <v>858</v>
      </c>
      <c r="C14" s="1010"/>
      <c r="D14" s="1010"/>
      <c r="E14" s="1010"/>
      <c r="Z14" s="1028" t="s">
        <v>616</v>
      </c>
      <c r="AA14" s="1029"/>
      <c r="AB14" s="357">
        <v>0.26819999999999999</v>
      </c>
    </row>
    <row r="15" spans="1:28" ht="30" customHeight="1" x14ac:dyDescent="0.25">
      <c r="A15" s="98" t="s">
        <v>4</v>
      </c>
      <c r="B15" s="1010">
        <v>2020</v>
      </c>
      <c r="C15" s="1010"/>
      <c r="D15" s="1010"/>
      <c r="E15" s="1010"/>
      <c r="Z15" s="1028" t="s">
        <v>578</v>
      </c>
      <c r="AA15" s="1029"/>
      <c r="AB15" s="357">
        <v>0.27700000000000002</v>
      </c>
    </row>
    <row r="16" spans="1:28" ht="30" customHeight="1" x14ac:dyDescent="0.25">
      <c r="A16" s="98" t="s">
        <v>5</v>
      </c>
      <c r="B16" s="1010">
        <v>2022</v>
      </c>
      <c r="C16" s="1010"/>
      <c r="D16" s="1010"/>
      <c r="E16" s="1010"/>
      <c r="Z16" s="1028" t="s">
        <v>579</v>
      </c>
      <c r="AA16" s="1029"/>
      <c r="AB16" s="357">
        <v>0.20269999999999999</v>
      </c>
    </row>
    <row r="17" spans="1:9" ht="30" customHeight="1" x14ac:dyDescent="0.25">
      <c r="A17" s="98" t="s">
        <v>6</v>
      </c>
      <c r="B17" s="1012">
        <f>SUM(G11:L11)</f>
        <v>2000</v>
      </c>
      <c r="C17" s="1012"/>
      <c r="D17" s="1012"/>
      <c r="E17" s="1012"/>
    </row>
    <row r="18" spans="1:9" ht="30" customHeight="1" x14ac:dyDescent="0.25">
      <c r="A18" s="98" t="s">
        <v>7</v>
      </c>
      <c r="B18" s="1012">
        <f>SUM(G12:L12)</f>
        <v>0</v>
      </c>
      <c r="C18" s="1012"/>
      <c r="D18" s="1012"/>
      <c r="E18" s="1012"/>
    </row>
    <row r="19" spans="1:9" ht="30" customHeight="1" x14ac:dyDescent="0.25">
      <c r="A19" s="99" t="s">
        <v>307</v>
      </c>
      <c r="B19" s="1039"/>
      <c r="C19" s="1040"/>
      <c r="D19" s="1040"/>
      <c r="E19" s="1040"/>
    </row>
    <row r="20" spans="1:9" s="25" customFormat="1" ht="30" customHeight="1" x14ac:dyDescent="0.25">
      <c r="A20" s="96" t="s">
        <v>306</v>
      </c>
      <c r="B20" s="1041"/>
      <c r="C20" s="1042"/>
      <c r="D20" s="1042"/>
      <c r="E20" s="1042"/>
      <c r="F20" s="6"/>
      <c r="G20" s="6"/>
      <c r="H20" s="6"/>
    </row>
    <row r="21" spans="1:9" ht="30" customHeight="1" x14ac:dyDescent="0.25">
      <c r="A21" s="98" t="s">
        <v>8</v>
      </c>
      <c r="B21" s="1000">
        <v>1</v>
      </c>
      <c r="C21" s="1000"/>
      <c r="D21" s="1000"/>
      <c r="E21" s="1000"/>
    </row>
    <row r="22" spans="1:9" ht="30" customHeight="1" x14ac:dyDescent="0.25">
      <c r="A22" s="98" t="s">
        <v>9</v>
      </c>
      <c r="B22" s="1000">
        <f>B20/1000*65*4</f>
        <v>0</v>
      </c>
      <c r="C22" s="1000"/>
      <c r="D22" s="1000"/>
      <c r="E22" s="1000"/>
    </row>
    <row r="23" spans="1:9" ht="30" customHeight="1" x14ac:dyDescent="0.25">
      <c r="A23" s="98" t="s">
        <v>301</v>
      </c>
      <c r="B23" s="1016">
        <f>B17/(B21+B22)</f>
        <v>2000</v>
      </c>
      <c r="C23" s="1016"/>
      <c r="D23" s="1016"/>
      <c r="E23" s="1016"/>
    </row>
    <row r="24" spans="1:9" ht="30" customHeight="1" x14ac:dyDescent="0.25">
      <c r="A24" s="98" t="s">
        <v>302</v>
      </c>
      <c r="B24" s="1017">
        <f>(B17-B18)/(B21+B22)</f>
        <v>2000</v>
      </c>
      <c r="C24" s="1017"/>
      <c r="D24" s="1017"/>
      <c r="E24" s="1017"/>
    </row>
    <row r="25" spans="1:9" ht="30" customHeight="1" x14ac:dyDescent="0.25">
      <c r="A25" s="100" t="s">
        <v>305</v>
      </c>
      <c r="B25" s="1030">
        <f>B20*G25/1000</f>
        <v>0</v>
      </c>
      <c r="C25" s="1030"/>
      <c r="D25" s="1030"/>
      <c r="E25" s="1030"/>
    </row>
    <row r="26" spans="1:9" ht="30" customHeight="1" x14ac:dyDescent="0.25">
      <c r="A26" s="101" t="s">
        <v>303</v>
      </c>
      <c r="B26" s="1019">
        <f>B25/'Objectifs CO2'!C11</f>
        <v>0</v>
      </c>
      <c r="C26" s="1019"/>
      <c r="D26" s="1019"/>
      <c r="E26" s="1019"/>
    </row>
    <row r="27" spans="1:9" ht="30" customHeight="1" x14ac:dyDescent="0.25">
      <c r="A27" s="101" t="s">
        <v>304</v>
      </c>
      <c r="B27" s="1020">
        <f>B25/'Objectifs CO2'!C4</f>
        <v>0</v>
      </c>
      <c r="C27" s="1021"/>
      <c r="D27" s="1021"/>
      <c r="E27" s="1021"/>
    </row>
    <row r="28" spans="1:9" ht="30" customHeight="1" x14ac:dyDescent="0.25">
      <c r="A28" s="101" t="s">
        <v>22</v>
      </c>
      <c r="B28" s="999"/>
      <c r="C28" s="999"/>
      <c r="D28" s="999"/>
      <c r="E28" s="999"/>
    </row>
    <row r="29" spans="1:9" ht="30" customHeight="1" x14ac:dyDescent="0.25">
      <c r="A29" s="101" t="s">
        <v>257</v>
      </c>
      <c r="B29" s="999" t="s">
        <v>261</v>
      </c>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E43" s="94" t="s">
        <v>730</v>
      </c>
    </row>
    <row r="44" spans="1:12" x14ac:dyDescent="0.25">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1:E21"/>
    <mergeCell ref="B20:E20"/>
    <mergeCell ref="B28:E28"/>
    <mergeCell ref="B27:E27"/>
    <mergeCell ref="B22:E22"/>
    <mergeCell ref="B24:E24"/>
    <mergeCell ref="B25:E25"/>
    <mergeCell ref="B23:E23"/>
    <mergeCell ref="B26:E26"/>
    <mergeCell ref="G8:G10"/>
    <mergeCell ref="Z5:AB5"/>
    <mergeCell ref="Z6:AA6"/>
    <mergeCell ref="Z8:AA8"/>
    <mergeCell ref="Z9:AA9"/>
    <mergeCell ref="Z10:AA10"/>
    <mergeCell ref="G7:H7"/>
    <mergeCell ref="Z16:AA16"/>
    <mergeCell ref="Z11:AA11"/>
    <mergeCell ref="Z12:AA12"/>
    <mergeCell ref="Z13:AA13"/>
    <mergeCell ref="Z14:AA14"/>
    <mergeCell ref="Z15:AA15"/>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1:D31"/>
    <mergeCell ref="B32:D32"/>
    <mergeCell ref="B17:E17"/>
    <mergeCell ref="B18:E18"/>
    <mergeCell ref="B19:E19"/>
    <mergeCell ref="B8:E8"/>
    <mergeCell ref="B10:E10"/>
    <mergeCell ref="B12:E12"/>
    <mergeCell ref="B13:E13"/>
    <mergeCell ref="B11:E11"/>
    <mergeCell ref="B9:E9"/>
    <mergeCell ref="B14:E14"/>
    <mergeCell ref="B15:E15"/>
    <mergeCell ref="B16:E16"/>
    <mergeCell ref="B29:E29"/>
    <mergeCell ref="G2:H2"/>
    <mergeCell ref="B3:E3"/>
    <mergeCell ref="G3:H3"/>
    <mergeCell ref="B4:E4"/>
    <mergeCell ref="B5:E5"/>
    <mergeCell ref="B6:E6"/>
    <mergeCell ref="B7:E7"/>
    <mergeCell ref="G6:H6"/>
    <mergeCell ref="G4:H4"/>
    <mergeCell ref="G5:H5"/>
  </mergeCells>
  <conditionalFormatting sqref="B5">
    <cfRule type="containsText" dxfId="284" priority="1" operator="containsText" text="Terminé">
      <formula>NOT(ISERROR(SEARCH("Terminé",B5)))</formula>
    </cfRule>
    <cfRule type="containsText" dxfId="283" priority="2" operator="containsText" text="En cours">
      <formula>NOT(ISERROR(SEARCH("En cours",B5)))</formula>
    </cfRule>
    <cfRule type="containsText" dxfId="28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topLeftCell="B1" zoomScaleNormal="100"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70</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412</v>
      </c>
      <c r="C6" s="993"/>
      <c r="D6" s="993"/>
      <c r="E6" s="993"/>
      <c r="F6" s="7"/>
      <c r="G6" s="986" t="s">
        <v>755</v>
      </c>
      <c r="H6" s="986"/>
      <c r="Z6" s="1026"/>
      <c r="AA6" s="1027"/>
      <c r="AB6" s="357" t="s">
        <v>610</v>
      </c>
    </row>
    <row r="7" spans="1:28" ht="19.5" customHeight="1" x14ac:dyDescent="0.25">
      <c r="A7" s="253" t="s">
        <v>475</v>
      </c>
      <c r="B7" s="994" t="s">
        <v>426</v>
      </c>
      <c r="C7" s="994"/>
      <c r="D7" s="994"/>
      <c r="E7" s="994"/>
      <c r="F7" s="7"/>
      <c r="G7" s="995" t="s">
        <v>756</v>
      </c>
      <c r="H7" s="995"/>
      <c r="I7" s="395"/>
      <c r="J7" s="395"/>
      <c r="Z7" s="401"/>
      <c r="AA7" s="402"/>
      <c r="AB7" s="357"/>
    </row>
    <row r="8" spans="1:28" ht="24" customHeight="1" x14ac:dyDescent="0.25">
      <c r="A8" s="142" t="s">
        <v>1</v>
      </c>
      <c r="B8" s="967" t="s">
        <v>457</v>
      </c>
      <c r="C8" s="967"/>
      <c r="D8" s="967"/>
      <c r="E8" s="967"/>
      <c r="Z8" s="1028" t="s">
        <v>611</v>
      </c>
      <c r="AA8" s="1029"/>
      <c r="AB8" s="357">
        <v>0.26819999999999999</v>
      </c>
    </row>
    <row r="9" spans="1:28" ht="24" customHeight="1" x14ac:dyDescent="0.25">
      <c r="A9" s="142" t="s">
        <v>0</v>
      </c>
      <c r="B9" s="967" t="s">
        <v>905</v>
      </c>
      <c r="C9" s="967"/>
      <c r="D9" s="967"/>
      <c r="E9" s="967"/>
      <c r="Z9" s="1028" t="s">
        <v>612</v>
      </c>
      <c r="AA9" s="1029"/>
      <c r="AB9" s="357">
        <v>3.1300000000000001E-2</v>
      </c>
    </row>
    <row r="10" spans="1:28" ht="78" customHeight="1" x14ac:dyDescent="0.25">
      <c r="A10" s="142" t="s">
        <v>2</v>
      </c>
      <c r="B10" s="1034" t="s">
        <v>899</v>
      </c>
      <c r="C10" s="1035"/>
      <c r="D10" s="1035"/>
      <c r="E10" s="1035"/>
      <c r="G10" s="60" t="s">
        <v>458</v>
      </c>
      <c r="H10" s="60" t="s">
        <v>459</v>
      </c>
      <c r="I10" s="60" t="s">
        <v>460</v>
      </c>
      <c r="J10" s="60" t="s">
        <v>461</v>
      </c>
      <c r="K10" s="60" t="s">
        <v>822</v>
      </c>
      <c r="L10" s="60" t="s">
        <v>823</v>
      </c>
      <c r="M10" s="60" t="s">
        <v>824</v>
      </c>
      <c r="N10" s="60" t="s">
        <v>825</v>
      </c>
      <c r="Z10" s="1028"/>
      <c r="AA10" s="1029"/>
      <c r="AB10" s="357"/>
    </row>
    <row r="11" spans="1:28" ht="39.75" customHeight="1" x14ac:dyDescent="0.25">
      <c r="A11" s="142" t="s">
        <v>29</v>
      </c>
      <c r="B11" s="1034" t="s">
        <v>960</v>
      </c>
      <c r="C11" s="1035"/>
      <c r="D11" s="1035"/>
      <c r="E11" s="1035"/>
      <c r="G11" s="69">
        <f>'Objectifs CO2'!X32</f>
        <v>16598.478324205487</v>
      </c>
      <c r="H11" s="69">
        <f>'Objectifs CO2'!Y32</f>
        <v>16628.778732187726</v>
      </c>
      <c r="I11" s="69">
        <f>'Objectifs CO2'!Z32</f>
        <v>46882.329252344512</v>
      </c>
      <c r="J11" s="69">
        <f>'Objectifs CO2'!AA32</f>
        <v>4047.431355855701</v>
      </c>
      <c r="K11" s="69">
        <f>'Objectifs CO2'!X41</f>
        <v>17149.820190067843</v>
      </c>
      <c r="L11" s="69">
        <f>'Objectifs CO2'!Y41</f>
        <v>13822.783319254693</v>
      </c>
      <c r="M11" s="69">
        <f>'Objectifs CO2'!Z41</f>
        <v>33272.017937268152</v>
      </c>
      <c r="N11" s="69">
        <f>'Objectifs CO2'!AA41</f>
        <v>5517.4777759085246</v>
      </c>
      <c r="Z11" s="1028" t="s">
        <v>613</v>
      </c>
      <c r="AA11" s="1029"/>
      <c r="AB11" s="357">
        <v>0.26819999999999999</v>
      </c>
    </row>
    <row r="12" spans="1:28" ht="30" customHeight="1" x14ac:dyDescent="0.25">
      <c r="A12" s="142" t="s">
        <v>14</v>
      </c>
      <c r="B12" s="1010" t="s">
        <v>607</v>
      </c>
      <c r="C12" s="1010"/>
      <c r="D12" s="1010"/>
      <c r="E12" s="1010"/>
      <c r="Z12" s="1028" t="s">
        <v>614</v>
      </c>
      <c r="AA12" s="1029"/>
      <c r="AB12" s="357">
        <v>1.18E-2</v>
      </c>
    </row>
    <row r="13" spans="1:28" ht="30" customHeight="1" x14ac:dyDescent="0.25">
      <c r="A13" s="142" t="s">
        <v>3</v>
      </c>
      <c r="B13" s="1010"/>
      <c r="C13" s="1010"/>
      <c r="D13" s="1010"/>
      <c r="E13" s="1010"/>
      <c r="G13" s="186" t="s">
        <v>119</v>
      </c>
      <c r="H13" s="186" t="s">
        <v>462</v>
      </c>
      <c r="I13" s="186" t="s">
        <v>463</v>
      </c>
      <c r="J13" s="186" t="s">
        <v>464</v>
      </c>
      <c r="K13" s="60" t="s">
        <v>465</v>
      </c>
      <c r="L13" s="60" t="s">
        <v>466</v>
      </c>
      <c r="M13" s="60" t="s">
        <v>467</v>
      </c>
      <c r="N13" s="60" t="s">
        <v>468</v>
      </c>
      <c r="Z13" s="1028" t="s">
        <v>615</v>
      </c>
      <c r="AA13" s="1029"/>
      <c r="AB13" s="358">
        <f>AB15/0.55</f>
        <v>0.50363636363636366</v>
      </c>
    </row>
    <row r="14" spans="1:28" ht="30" customHeight="1" x14ac:dyDescent="0.25">
      <c r="A14" s="142" t="s">
        <v>15</v>
      </c>
      <c r="B14" s="1010"/>
      <c r="C14" s="1010"/>
      <c r="D14" s="1010"/>
      <c r="E14" s="1010"/>
      <c r="G14" s="186">
        <f>AB15</f>
        <v>0.27700000000000002</v>
      </c>
      <c r="H14" s="186">
        <f>AB16</f>
        <v>0.20269999999999999</v>
      </c>
      <c r="I14" s="186">
        <f>AB8</f>
        <v>0.26819999999999999</v>
      </c>
      <c r="J14" s="186">
        <f>AB9</f>
        <v>3.1300000000000001E-2</v>
      </c>
      <c r="K14" s="199">
        <v>0.2</v>
      </c>
      <c r="L14" s="199">
        <v>0.55000000000000004</v>
      </c>
      <c r="M14" s="199">
        <v>0.7</v>
      </c>
      <c r="N14" s="199">
        <v>2.7E-2</v>
      </c>
      <c r="Z14" s="1028" t="s">
        <v>616</v>
      </c>
      <c r="AA14" s="1029"/>
      <c r="AB14" s="357">
        <v>0.26819999999999999</v>
      </c>
    </row>
    <row r="15" spans="1:28" ht="30" customHeight="1" x14ac:dyDescent="0.25">
      <c r="A15" s="142" t="s">
        <v>4</v>
      </c>
      <c r="B15" s="1010">
        <v>2006</v>
      </c>
      <c r="C15" s="1010"/>
      <c r="D15" s="1010"/>
      <c r="E15" s="1010"/>
      <c r="K15" s="60" t="s">
        <v>818</v>
      </c>
      <c r="L15" s="60" t="s">
        <v>819</v>
      </c>
      <c r="M15" s="60" t="s">
        <v>820</v>
      </c>
      <c r="N15" s="60" t="s">
        <v>821</v>
      </c>
      <c r="Z15" s="1028" t="s">
        <v>578</v>
      </c>
      <c r="AA15" s="1029"/>
      <c r="AB15" s="357">
        <v>0.27700000000000002</v>
      </c>
    </row>
    <row r="16" spans="1:28" ht="30" customHeight="1" x14ac:dyDescent="0.25">
      <c r="A16" s="142" t="s">
        <v>5</v>
      </c>
      <c r="B16" s="1010">
        <v>2014</v>
      </c>
      <c r="C16" s="1010"/>
      <c r="D16" s="1010"/>
      <c r="E16" s="1010"/>
      <c r="K16" s="199">
        <v>0.20699999999999999</v>
      </c>
      <c r="L16" s="199">
        <v>0.57950000000000002</v>
      </c>
      <c r="M16" s="199">
        <v>0.78049999999999997</v>
      </c>
      <c r="N16" s="199">
        <v>0.57999999999999996</v>
      </c>
      <c r="Z16" s="1028" t="s">
        <v>579</v>
      </c>
      <c r="AA16" s="1029"/>
      <c r="AB16" s="357">
        <v>0.20269999999999999</v>
      </c>
    </row>
    <row r="17" spans="1:9" ht="30" customHeight="1" x14ac:dyDescent="0.25">
      <c r="A17" s="142" t="s">
        <v>6</v>
      </c>
      <c r="B17" s="1000">
        <f>B19*0.7</f>
        <v>10076442.909465952</v>
      </c>
      <c r="C17" s="1000"/>
      <c r="D17" s="1000"/>
      <c r="E17" s="1000"/>
    </row>
    <row r="18" spans="1:9" ht="30" customHeight="1" x14ac:dyDescent="0.25">
      <c r="A18" s="142" t="s">
        <v>7</v>
      </c>
      <c r="B18" s="1000">
        <f>B17*0.1</f>
        <v>1007644.2909465953</v>
      </c>
      <c r="C18" s="1000"/>
      <c r="D18" s="1000"/>
      <c r="E18" s="1000"/>
    </row>
    <row r="19" spans="1:9" ht="30" customHeight="1" x14ac:dyDescent="0.25">
      <c r="A19" s="99" t="s">
        <v>307</v>
      </c>
      <c r="B19" s="1039">
        <f>('Objectifs CO2'!AC41+'Objectifs CO2'!AC77+'Objectifs CO2'!AC59)*1000</f>
        <v>14394918.442094218</v>
      </c>
      <c r="C19" s="1040"/>
      <c r="D19" s="1040"/>
      <c r="E19" s="1040"/>
      <c r="G19" s="2"/>
      <c r="H19" s="2"/>
    </row>
    <row r="20" spans="1:9" ht="30" customHeight="1" x14ac:dyDescent="0.25">
      <c r="A20" s="96" t="s">
        <v>306</v>
      </c>
      <c r="B20" s="1041">
        <v>0</v>
      </c>
      <c r="C20" s="1042"/>
      <c r="D20" s="1042"/>
      <c r="E20" s="1042"/>
    </row>
    <row r="21" spans="1:9" ht="30" customHeight="1" x14ac:dyDescent="0.25">
      <c r="A21" s="142" t="s">
        <v>8</v>
      </c>
      <c r="B21" s="1000">
        <f>G22</f>
        <v>11282167.633347645</v>
      </c>
      <c r="C21" s="1000"/>
      <c r="D21" s="1000"/>
      <c r="E21" s="1000"/>
      <c r="G21" s="200" t="s">
        <v>469</v>
      </c>
    </row>
    <row r="22" spans="1:9" ht="30" customHeight="1" x14ac:dyDescent="0.25">
      <c r="A22" s="142" t="s">
        <v>9</v>
      </c>
      <c r="B22" s="1000">
        <v>0</v>
      </c>
      <c r="C22" s="1000"/>
      <c r="D22" s="1000"/>
      <c r="E22" s="1000"/>
      <c r="G22" s="201">
        <f>((G11-K11)*K16+(H11-L11)*L16+(I11-M11)*M16+(J11-N11)*N16)*1000</f>
        <v>11282167.633347645</v>
      </c>
    </row>
    <row r="23" spans="1:9" ht="30" customHeight="1" x14ac:dyDescent="0.25">
      <c r="A23" s="142" t="s">
        <v>301</v>
      </c>
      <c r="B23" s="1069">
        <f>B17/(B21+B22)</f>
        <v>0.89313004707377042</v>
      </c>
      <c r="C23" s="1069"/>
      <c r="D23" s="1069"/>
      <c r="E23" s="1069"/>
    </row>
    <row r="24" spans="1:9" ht="30" customHeight="1" x14ac:dyDescent="0.25">
      <c r="A24" s="142" t="s">
        <v>302</v>
      </c>
      <c r="B24" s="1017">
        <f>(B17-B18)/(B21+B22)</f>
        <v>0.8038170423663934</v>
      </c>
      <c r="C24" s="1017"/>
      <c r="D24" s="1017"/>
      <c r="E24" s="1017"/>
    </row>
    <row r="25" spans="1:9" ht="30" customHeight="1" x14ac:dyDescent="0.25">
      <c r="A25" s="100" t="s">
        <v>305</v>
      </c>
      <c r="B25" s="1070">
        <f>'Objectifs CO2'!O41</f>
        <v>4020.3266151134812</v>
      </c>
      <c r="C25" s="1070"/>
      <c r="D25" s="1070"/>
      <c r="E25" s="1070"/>
    </row>
    <row r="26" spans="1:9" ht="30" customHeight="1" x14ac:dyDescent="0.25">
      <c r="A26" s="101" t="s">
        <v>303</v>
      </c>
      <c r="B26" s="1021">
        <f>B25/'Objectifs CO2'!C7</f>
        <v>3.7084944326303106</v>
      </c>
      <c r="C26" s="1021"/>
      <c r="D26" s="1021"/>
      <c r="E26" s="1021"/>
    </row>
    <row r="27" spans="1:9" ht="30" customHeight="1" x14ac:dyDescent="0.25">
      <c r="A27" s="101" t="s">
        <v>304</v>
      </c>
      <c r="B27" s="1044">
        <f>B25/'Objectifs CO2'!C4</f>
        <v>0.18542472163151552</v>
      </c>
      <c r="C27" s="1045"/>
      <c r="D27" s="1045"/>
      <c r="E27" s="1045"/>
    </row>
    <row r="28" spans="1:9" ht="30" customHeight="1" x14ac:dyDescent="0.25">
      <c r="A28" s="101" t="s">
        <v>22</v>
      </c>
      <c r="B28" s="1010" t="s">
        <v>33</v>
      </c>
      <c r="C28" s="1010"/>
      <c r="D28" s="1010"/>
      <c r="E28" s="1010"/>
    </row>
    <row r="29" spans="1:9" ht="30" customHeight="1" x14ac:dyDescent="0.25">
      <c r="A29" s="101" t="s">
        <v>257</v>
      </c>
      <c r="B29" s="999"/>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B28:E28"/>
    <mergeCell ref="B29:E29"/>
    <mergeCell ref="G6:H6"/>
    <mergeCell ref="B22:E22"/>
    <mergeCell ref="B23:E23"/>
    <mergeCell ref="B24:E24"/>
    <mergeCell ref="B25:E25"/>
    <mergeCell ref="B26:E26"/>
    <mergeCell ref="B27:E27"/>
    <mergeCell ref="B16:E16"/>
    <mergeCell ref="B17:E17"/>
    <mergeCell ref="B18:E18"/>
    <mergeCell ref="B19:E19"/>
    <mergeCell ref="B20:E20"/>
    <mergeCell ref="B21:E21"/>
    <mergeCell ref="B10:E10"/>
    <mergeCell ref="B11:E11"/>
    <mergeCell ref="B12:E12"/>
    <mergeCell ref="B13:E13"/>
    <mergeCell ref="B14:E14"/>
    <mergeCell ref="B15:E15"/>
    <mergeCell ref="Z9:AA9"/>
    <mergeCell ref="Z10:AA10"/>
    <mergeCell ref="Z16:AA16"/>
    <mergeCell ref="Z11:AA11"/>
    <mergeCell ref="Z12:AA12"/>
    <mergeCell ref="Z13:AA13"/>
    <mergeCell ref="Z14:AA14"/>
    <mergeCell ref="Z15:AA15"/>
    <mergeCell ref="B31:D31"/>
    <mergeCell ref="B9:E9"/>
    <mergeCell ref="G4:H4"/>
    <mergeCell ref="G5:H5"/>
    <mergeCell ref="B8:E8"/>
    <mergeCell ref="B4:E4"/>
    <mergeCell ref="B5:E5"/>
    <mergeCell ref="B6:E6"/>
    <mergeCell ref="B7:E7"/>
    <mergeCell ref="G7:H7"/>
    <mergeCell ref="G2:H2"/>
    <mergeCell ref="B3:E3"/>
    <mergeCell ref="G3:H3"/>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2:D32"/>
  </mergeCells>
  <conditionalFormatting sqref="B5">
    <cfRule type="containsText" dxfId="281" priority="1" operator="containsText" text="Terminé">
      <formula>NOT(ISERROR(SEARCH("Terminé",B5)))</formula>
    </cfRule>
    <cfRule type="containsText" dxfId="280" priority="2" operator="containsText" text="En cours">
      <formula>NOT(ISERROR(SEARCH("En cours",B5)))</formula>
    </cfRule>
    <cfRule type="containsText" dxfId="27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topLeftCell="A12" workbookViewId="0">
      <selection activeCell="G21" sqref="G2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71</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34</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412</v>
      </c>
      <c r="C6" s="993"/>
      <c r="D6" s="993"/>
      <c r="E6" s="993"/>
      <c r="F6" s="7"/>
      <c r="G6" s="986" t="s">
        <v>755</v>
      </c>
      <c r="H6" s="986"/>
      <c r="Z6" s="1026"/>
      <c r="AA6" s="1027"/>
      <c r="AB6" s="357" t="s">
        <v>610</v>
      </c>
    </row>
    <row r="7" spans="1:28" ht="19.5" customHeight="1" x14ac:dyDescent="0.25">
      <c r="A7" s="253" t="s">
        <v>475</v>
      </c>
      <c r="B7" s="994" t="s">
        <v>426</v>
      </c>
      <c r="C7" s="994"/>
      <c r="D7" s="994"/>
      <c r="E7" s="994"/>
      <c r="F7" s="7"/>
      <c r="G7" s="995" t="s">
        <v>756</v>
      </c>
      <c r="H7" s="995"/>
      <c r="I7" s="395"/>
      <c r="J7" s="395"/>
      <c r="Z7" s="401"/>
      <c r="AA7" s="402"/>
      <c r="AB7" s="357"/>
    </row>
    <row r="8" spans="1:28" ht="24" customHeight="1" x14ac:dyDescent="0.25">
      <c r="A8" s="408" t="s">
        <v>1</v>
      </c>
      <c r="B8" s="967" t="s">
        <v>457</v>
      </c>
      <c r="C8" s="967"/>
      <c r="D8" s="967"/>
      <c r="E8" s="967"/>
      <c r="Z8" s="1028" t="s">
        <v>611</v>
      </c>
      <c r="AA8" s="1029"/>
      <c r="AB8" s="357">
        <v>0.26819999999999999</v>
      </c>
    </row>
    <row r="9" spans="1:28" ht="24" customHeight="1" x14ac:dyDescent="0.25">
      <c r="A9" s="408" t="s">
        <v>0</v>
      </c>
      <c r="B9" s="967" t="s">
        <v>905</v>
      </c>
      <c r="C9" s="967"/>
      <c r="D9" s="967"/>
      <c r="E9" s="967"/>
      <c r="Z9" s="1028" t="s">
        <v>612</v>
      </c>
      <c r="AA9" s="1029"/>
      <c r="AB9" s="357">
        <v>3.1300000000000001E-2</v>
      </c>
    </row>
    <row r="10" spans="1:28" ht="78" customHeight="1" x14ac:dyDescent="0.25">
      <c r="A10" s="408" t="s">
        <v>2</v>
      </c>
      <c r="B10" s="1034" t="s">
        <v>927</v>
      </c>
      <c r="C10" s="1035"/>
      <c r="D10" s="1035"/>
      <c r="E10" s="1035"/>
      <c r="G10" s="60" t="s">
        <v>458</v>
      </c>
      <c r="H10" s="60" t="s">
        <v>459</v>
      </c>
      <c r="I10" s="60" t="s">
        <v>460</v>
      </c>
      <c r="J10" s="60" t="s">
        <v>461</v>
      </c>
      <c r="K10" s="60" t="s">
        <v>822</v>
      </c>
      <c r="L10" s="60" t="s">
        <v>823</v>
      </c>
      <c r="M10" s="60" t="s">
        <v>824</v>
      </c>
      <c r="N10" s="60" t="s">
        <v>825</v>
      </c>
      <c r="Z10" s="1028"/>
      <c r="AA10" s="1029"/>
      <c r="AB10" s="357"/>
    </row>
    <row r="11" spans="1:28" ht="39.75" customHeight="1" x14ac:dyDescent="0.25">
      <c r="A11" s="408" t="s">
        <v>29</v>
      </c>
      <c r="B11" s="1034" t="s">
        <v>960</v>
      </c>
      <c r="C11" s="1035"/>
      <c r="D11" s="1035"/>
      <c r="E11" s="1035"/>
      <c r="G11" s="69">
        <f>'Objectifs CO2'!X34</f>
        <v>1120.8399702259931</v>
      </c>
      <c r="H11" s="69">
        <f>'Objectifs CO2'!Y34</f>
        <v>0</v>
      </c>
      <c r="I11" s="69">
        <f>'Objectifs CO2'!Z34</f>
        <v>39495.930386727392</v>
      </c>
      <c r="J11" s="69">
        <f>'Objectifs CO2'!AA34</f>
        <v>0</v>
      </c>
      <c r="K11" s="69">
        <f>'Objectifs CO2'!X43</f>
        <v>1273.5167597210775</v>
      </c>
      <c r="L11" s="69">
        <f>'Objectifs CO2'!Y43</f>
        <v>0</v>
      </c>
      <c r="M11" s="69">
        <f>'Objectifs CO2'!Z43</f>
        <v>38330.447330040246</v>
      </c>
      <c r="N11" s="69">
        <f>'Objectifs CO2'!AA43</f>
        <v>0</v>
      </c>
      <c r="Z11" s="1028" t="s">
        <v>613</v>
      </c>
      <c r="AA11" s="1029"/>
      <c r="AB11" s="357">
        <v>0.26819999999999999</v>
      </c>
    </row>
    <row r="12" spans="1:28" ht="30" customHeight="1" x14ac:dyDescent="0.25">
      <c r="A12" s="408" t="s">
        <v>14</v>
      </c>
      <c r="B12" s="1010" t="s">
        <v>1003</v>
      </c>
      <c r="C12" s="1010"/>
      <c r="D12" s="1010"/>
      <c r="E12" s="1010"/>
      <c r="Z12" s="1028" t="s">
        <v>614</v>
      </c>
      <c r="AA12" s="1029"/>
      <c r="AB12" s="357">
        <v>1.18E-2</v>
      </c>
    </row>
    <row r="13" spans="1:28" ht="30" customHeight="1" x14ac:dyDescent="0.25">
      <c r="A13" s="408" t="s">
        <v>3</v>
      </c>
      <c r="B13" s="1010"/>
      <c r="C13" s="1010"/>
      <c r="D13" s="1010"/>
      <c r="E13" s="1010"/>
      <c r="G13" s="404" t="s">
        <v>119</v>
      </c>
      <c r="H13" s="404" t="s">
        <v>462</v>
      </c>
      <c r="I13" s="404" t="s">
        <v>463</v>
      </c>
      <c r="J13" s="404" t="s">
        <v>464</v>
      </c>
      <c r="K13" s="60" t="s">
        <v>465</v>
      </c>
      <c r="L13" s="60" t="s">
        <v>466</v>
      </c>
      <c r="M13" s="60" t="s">
        <v>467</v>
      </c>
      <c r="N13" s="60" t="s">
        <v>468</v>
      </c>
      <c r="Z13" s="1028" t="s">
        <v>615</v>
      </c>
      <c r="AA13" s="1029"/>
      <c r="AB13" s="358">
        <f>AB15/0.55</f>
        <v>0.50363636363636366</v>
      </c>
    </row>
    <row r="14" spans="1:28" ht="30" customHeight="1" x14ac:dyDescent="0.25">
      <c r="A14" s="408" t="s">
        <v>15</v>
      </c>
      <c r="B14" s="1010"/>
      <c r="C14" s="1010"/>
      <c r="D14" s="1010"/>
      <c r="E14" s="1010"/>
      <c r="G14" s="404">
        <f>AB15</f>
        <v>0.27700000000000002</v>
      </c>
      <c r="H14" s="404">
        <f>AB16</f>
        <v>0.20269999999999999</v>
      </c>
      <c r="I14" s="404">
        <f>AB8</f>
        <v>0.26819999999999999</v>
      </c>
      <c r="J14" s="404">
        <f>AB9</f>
        <v>3.1300000000000001E-2</v>
      </c>
      <c r="K14" s="199">
        <v>0.2</v>
      </c>
      <c r="L14" s="199">
        <v>0.55000000000000004</v>
      </c>
      <c r="M14" s="199">
        <v>0.7</v>
      </c>
      <c r="N14" s="199">
        <v>2.7E-2</v>
      </c>
      <c r="Z14" s="1028" t="s">
        <v>616</v>
      </c>
      <c r="AA14" s="1029"/>
      <c r="AB14" s="357">
        <v>0.26819999999999999</v>
      </c>
    </row>
    <row r="15" spans="1:28" ht="30" customHeight="1" x14ac:dyDescent="0.25">
      <c r="A15" s="408" t="s">
        <v>4</v>
      </c>
      <c r="B15" s="1010">
        <v>2006</v>
      </c>
      <c r="C15" s="1010"/>
      <c r="D15" s="1010"/>
      <c r="E15" s="1010"/>
      <c r="K15" s="60" t="s">
        <v>818</v>
      </c>
      <c r="L15" s="60" t="s">
        <v>819</v>
      </c>
      <c r="M15" s="60" t="s">
        <v>820</v>
      </c>
      <c r="N15" s="60" t="s">
        <v>821</v>
      </c>
      <c r="Z15" s="1028" t="s">
        <v>578</v>
      </c>
      <c r="AA15" s="1029"/>
      <c r="AB15" s="357">
        <v>0.27700000000000002</v>
      </c>
    </row>
    <row r="16" spans="1:28" ht="30" customHeight="1" x14ac:dyDescent="0.25">
      <c r="A16" s="408" t="s">
        <v>5</v>
      </c>
      <c r="B16" s="1010">
        <v>2014</v>
      </c>
      <c r="C16" s="1010"/>
      <c r="D16" s="1010"/>
      <c r="E16" s="1010"/>
      <c r="K16" s="199">
        <v>0.12959999999999999</v>
      </c>
      <c r="L16" s="199">
        <v>0.499</v>
      </c>
      <c r="M16" s="199">
        <v>0.78</v>
      </c>
      <c r="N16" s="199">
        <v>0.57999999999999996</v>
      </c>
      <c r="Z16" s="1028" t="s">
        <v>579</v>
      </c>
      <c r="AA16" s="1029"/>
      <c r="AB16" s="357">
        <v>0.20269999999999999</v>
      </c>
    </row>
    <row r="17" spans="1:9" ht="30" customHeight="1" x14ac:dyDescent="0.25">
      <c r="A17" s="408" t="s">
        <v>6</v>
      </c>
      <c r="B17" s="1000">
        <f>B19*0.7</f>
        <v>708964.38703444938</v>
      </c>
      <c r="C17" s="1000"/>
      <c r="D17" s="1000"/>
      <c r="E17" s="1000"/>
    </row>
    <row r="18" spans="1:9" ht="30" customHeight="1" x14ac:dyDescent="0.25">
      <c r="A18" s="408" t="s">
        <v>7</v>
      </c>
      <c r="B18" s="1000">
        <f>B17*0.1</f>
        <v>70896.438703444946</v>
      </c>
      <c r="C18" s="1000"/>
      <c r="D18" s="1000"/>
      <c r="E18" s="1000"/>
    </row>
    <row r="19" spans="1:9" ht="30" customHeight="1" x14ac:dyDescent="0.25">
      <c r="A19" s="99" t="s">
        <v>307</v>
      </c>
      <c r="B19" s="1039">
        <f>('Objectifs CO2'!AC43)*1000</f>
        <v>1012806.2671920706</v>
      </c>
      <c r="C19" s="1040"/>
      <c r="D19" s="1040"/>
      <c r="E19" s="1040"/>
      <c r="G19" s="2"/>
      <c r="H19" s="2"/>
    </row>
    <row r="20" spans="1:9" ht="30" customHeight="1" x14ac:dyDescent="0.25">
      <c r="A20" s="96" t="s">
        <v>306</v>
      </c>
      <c r="B20" s="1041">
        <v>0</v>
      </c>
      <c r="C20" s="1042"/>
      <c r="D20" s="1042"/>
      <c r="E20" s="1042"/>
    </row>
    <row r="21" spans="1:9" ht="30" customHeight="1" x14ac:dyDescent="0.25">
      <c r="A21" s="408" t="s">
        <v>8</v>
      </c>
      <c r="B21" s="1000">
        <f>G22</f>
        <v>889289.87229741097</v>
      </c>
      <c r="C21" s="1000"/>
      <c r="D21" s="1000"/>
      <c r="E21" s="1000"/>
      <c r="G21" s="200" t="s">
        <v>831</v>
      </c>
    </row>
    <row r="22" spans="1:9" ht="30" customHeight="1" x14ac:dyDescent="0.25">
      <c r="A22" s="408" t="s">
        <v>9</v>
      </c>
      <c r="B22" s="1000">
        <v>0</v>
      </c>
      <c r="C22" s="1000"/>
      <c r="D22" s="1000"/>
      <c r="E22" s="1000"/>
      <c r="G22" s="201">
        <f>((G11-K11)*K16+(H11-L11)*L16+(I11-M11)*M16+(J11-N11)*N16)*1000</f>
        <v>889289.87229741097</v>
      </c>
    </row>
    <row r="23" spans="1:9" ht="30" customHeight="1" x14ac:dyDescent="0.25">
      <c r="A23" s="408" t="s">
        <v>301</v>
      </c>
      <c r="B23" s="1069">
        <f>B17/(B21+B22)</f>
        <v>0.79722530202991659</v>
      </c>
      <c r="C23" s="1069"/>
      <c r="D23" s="1069"/>
      <c r="E23" s="1069"/>
    </row>
    <row r="24" spans="1:9" ht="30" customHeight="1" x14ac:dyDescent="0.25">
      <c r="A24" s="408" t="s">
        <v>302</v>
      </c>
      <c r="B24" s="1017">
        <f>(B17-B18)/(B21+B22)</f>
        <v>0.7175027718269249</v>
      </c>
      <c r="C24" s="1017"/>
      <c r="D24" s="1017"/>
      <c r="E24" s="1017"/>
    </row>
    <row r="25" spans="1:9" ht="30" customHeight="1" x14ac:dyDescent="0.25">
      <c r="A25" s="100" t="s">
        <v>305</v>
      </c>
      <c r="B25" s="1070">
        <f>'Objectifs CO2'!O43</f>
        <v>270.29108511335653</v>
      </c>
      <c r="C25" s="1070"/>
      <c r="D25" s="1070"/>
      <c r="E25" s="1070"/>
    </row>
    <row r="26" spans="1:9" ht="30" customHeight="1" x14ac:dyDescent="0.25">
      <c r="A26" s="101" t="s">
        <v>303</v>
      </c>
      <c r="B26" s="1021">
        <f>B25/'Objectifs CO2'!C7</f>
        <v>0.24932625637039049</v>
      </c>
      <c r="C26" s="1021"/>
      <c r="D26" s="1021"/>
      <c r="E26" s="1021"/>
    </row>
    <row r="27" spans="1:9" ht="30" customHeight="1" x14ac:dyDescent="0.25">
      <c r="A27" s="101" t="s">
        <v>304</v>
      </c>
      <c r="B27" s="1044">
        <f>B25/'Objectifs CO2'!C4</f>
        <v>1.2466312818519525E-2</v>
      </c>
      <c r="C27" s="1045"/>
      <c r="D27" s="1045"/>
      <c r="E27" s="1045"/>
    </row>
    <row r="28" spans="1:9" ht="30" customHeight="1" x14ac:dyDescent="0.25">
      <c r="A28" s="101" t="s">
        <v>22</v>
      </c>
      <c r="B28" s="1010" t="s">
        <v>33</v>
      </c>
      <c r="C28" s="1010"/>
      <c r="D28" s="1010"/>
      <c r="E28" s="1010"/>
    </row>
    <row r="29" spans="1:9" ht="30" customHeight="1" x14ac:dyDescent="0.25">
      <c r="A29" s="101" t="s">
        <v>257</v>
      </c>
      <c r="B29" s="999"/>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Z8:AA8"/>
    <mergeCell ref="B9:E9"/>
    <mergeCell ref="Z9:AA9"/>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G32:I32"/>
    <mergeCell ref="B21:E21"/>
    <mergeCell ref="B22:E22"/>
    <mergeCell ref="B23:E23"/>
    <mergeCell ref="B24:E24"/>
    <mergeCell ref="B25:E25"/>
    <mergeCell ref="B26:E26"/>
    <mergeCell ref="B27:E27"/>
    <mergeCell ref="B28:E28"/>
    <mergeCell ref="B29:E29"/>
    <mergeCell ref="B31:D31"/>
    <mergeCell ref="B32:D32"/>
    <mergeCell ref="G40:I40"/>
    <mergeCell ref="B33:D33"/>
    <mergeCell ref="H33:I33"/>
    <mergeCell ref="B34:D34"/>
    <mergeCell ref="H34:I34"/>
    <mergeCell ref="B35:D35"/>
    <mergeCell ref="H35:I35"/>
    <mergeCell ref="B42:D42"/>
    <mergeCell ref="B44:D44"/>
    <mergeCell ref="B36:D36"/>
    <mergeCell ref="B37:D37"/>
    <mergeCell ref="B38:D38"/>
    <mergeCell ref="B39:D39"/>
    <mergeCell ref="B40:D40"/>
    <mergeCell ref="B41:D41"/>
  </mergeCells>
  <conditionalFormatting sqref="B5">
    <cfRule type="containsText" dxfId="278" priority="1" operator="containsText" text="Terminé">
      <formula>NOT(ISERROR(SEARCH("Terminé",B5)))</formula>
    </cfRule>
    <cfRule type="containsText" dxfId="277" priority="2" operator="containsText" text="En cours">
      <formula>NOT(ISERROR(SEARCH("En cours",B5)))</formula>
    </cfRule>
    <cfRule type="containsText" dxfId="27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9"/>
  <sheetViews>
    <sheetView zoomScaleNormal="100"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72</v>
      </c>
      <c r="C2" s="1068"/>
      <c r="D2" s="1068"/>
      <c r="E2" s="1068"/>
      <c r="F2" s="7"/>
      <c r="G2" s="986" t="s">
        <v>751</v>
      </c>
      <c r="H2" s="986"/>
    </row>
    <row r="3" spans="1:28" ht="19.5" customHeight="1" x14ac:dyDescent="0.25">
      <c r="A3" s="442" t="s">
        <v>743</v>
      </c>
      <c r="B3" s="987" t="s">
        <v>457</v>
      </c>
      <c r="C3" s="987"/>
      <c r="D3" s="987"/>
      <c r="E3" s="987"/>
      <c r="F3" s="7"/>
      <c r="G3" s="986" t="s">
        <v>752</v>
      </c>
      <c r="H3" s="986"/>
    </row>
    <row r="4" spans="1:28" ht="19.5" customHeight="1" x14ac:dyDescent="0.25">
      <c r="A4" s="443" t="s">
        <v>292</v>
      </c>
      <c r="B4" s="996" t="s">
        <v>54</v>
      </c>
      <c r="C4" s="996"/>
      <c r="D4" s="996"/>
      <c r="E4" s="996"/>
      <c r="F4" s="7"/>
      <c r="G4" s="986" t="s">
        <v>753</v>
      </c>
      <c r="H4" s="986"/>
    </row>
    <row r="5" spans="1:28" ht="19.5" customHeight="1" x14ac:dyDescent="0.25">
      <c r="A5" s="443" t="s">
        <v>16</v>
      </c>
      <c r="B5" s="1015" t="s">
        <v>19</v>
      </c>
      <c r="C5" s="1015"/>
      <c r="D5" s="1015"/>
      <c r="E5" s="1015"/>
      <c r="F5" s="7"/>
      <c r="G5" s="986" t="s">
        <v>754</v>
      </c>
      <c r="H5" s="986"/>
      <c r="Z5" s="1023" t="s">
        <v>609</v>
      </c>
      <c r="AA5" s="1024"/>
      <c r="AB5" s="1025"/>
    </row>
    <row r="6" spans="1:28" ht="19.5" customHeight="1" x14ac:dyDescent="0.25">
      <c r="A6" s="413" t="s">
        <v>474</v>
      </c>
      <c r="B6" s="993" t="s">
        <v>412</v>
      </c>
      <c r="C6" s="993"/>
      <c r="D6" s="993"/>
      <c r="E6" s="993"/>
      <c r="F6" s="7"/>
      <c r="G6" s="986" t="s">
        <v>755</v>
      </c>
      <c r="H6" s="986"/>
      <c r="Z6" s="1026"/>
      <c r="AA6" s="1027"/>
      <c r="AB6" s="357" t="s">
        <v>610</v>
      </c>
    </row>
    <row r="7" spans="1:28" ht="19.5" customHeight="1" x14ac:dyDescent="0.25">
      <c r="A7" s="253" t="s">
        <v>475</v>
      </c>
      <c r="B7" s="994" t="s">
        <v>426</v>
      </c>
      <c r="C7" s="994"/>
      <c r="D7" s="994"/>
      <c r="E7" s="994"/>
      <c r="F7" s="7"/>
      <c r="G7" s="995" t="s">
        <v>756</v>
      </c>
      <c r="H7" s="995"/>
      <c r="I7" s="440"/>
      <c r="J7" s="440"/>
      <c r="Z7" s="444"/>
      <c r="AA7" s="445"/>
      <c r="AB7" s="357"/>
    </row>
    <row r="8" spans="1:28" ht="24" customHeight="1" x14ac:dyDescent="0.25">
      <c r="A8" s="451" t="s">
        <v>1</v>
      </c>
      <c r="B8" s="967" t="s">
        <v>457</v>
      </c>
      <c r="C8" s="967"/>
      <c r="D8" s="967"/>
      <c r="E8" s="967"/>
      <c r="Z8" s="1028" t="s">
        <v>611</v>
      </c>
      <c r="AA8" s="1029"/>
      <c r="AB8" s="357">
        <v>0.26819999999999999</v>
      </c>
    </row>
    <row r="9" spans="1:28" ht="24" customHeight="1" x14ac:dyDescent="0.25">
      <c r="A9" s="451" t="s">
        <v>0</v>
      </c>
      <c r="B9" s="967" t="s">
        <v>905</v>
      </c>
      <c r="C9" s="967"/>
      <c r="D9" s="967"/>
      <c r="E9" s="967"/>
      <c r="Z9" s="1028" t="s">
        <v>612</v>
      </c>
      <c r="AA9" s="1029"/>
      <c r="AB9" s="357">
        <v>3.1300000000000001E-2</v>
      </c>
    </row>
    <row r="10" spans="1:28" ht="78" customHeight="1" x14ac:dyDescent="0.25">
      <c r="A10" s="451" t="s">
        <v>2</v>
      </c>
      <c r="B10" s="1034" t="s">
        <v>929</v>
      </c>
      <c r="C10" s="1035"/>
      <c r="D10" s="1035"/>
      <c r="E10" s="1035"/>
      <c r="G10" s="60" t="s">
        <v>458</v>
      </c>
      <c r="H10" s="60" t="s">
        <v>459</v>
      </c>
      <c r="I10" s="60" t="s">
        <v>460</v>
      </c>
      <c r="J10" s="60" t="s">
        <v>461</v>
      </c>
      <c r="K10" s="60" t="s">
        <v>822</v>
      </c>
      <c r="L10" s="60" t="s">
        <v>823</v>
      </c>
      <c r="M10" s="60" t="s">
        <v>824</v>
      </c>
      <c r="N10" s="60" t="s">
        <v>825</v>
      </c>
      <c r="Z10" s="1028"/>
      <c r="AA10" s="1029"/>
      <c r="AB10" s="357"/>
    </row>
    <row r="11" spans="1:28" ht="39.75" customHeight="1" x14ac:dyDescent="0.25">
      <c r="A11" s="451" t="s">
        <v>29</v>
      </c>
      <c r="B11" s="1034" t="s">
        <v>960</v>
      </c>
      <c r="C11" s="1035"/>
      <c r="D11" s="1035"/>
      <c r="E11" s="1035"/>
      <c r="G11" s="69">
        <f>'Objectifs CO2'!X31</f>
        <v>38484.691474170722</v>
      </c>
      <c r="H11" s="69">
        <f>'Objectifs CO2'!Y31</f>
        <v>22828.78387710149</v>
      </c>
      <c r="I11" s="69">
        <f>'Objectifs CO2'!Z31</f>
        <v>493.80792938818951</v>
      </c>
      <c r="J11" s="69">
        <f>'Objectifs CO2'!AA31</f>
        <v>0</v>
      </c>
      <c r="K11" s="69">
        <f>'Objectifs CO2'!X40</f>
        <v>31299.555377325436</v>
      </c>
      <c r="L11" s="69">
        <f>'Objectifs CO2'!Y40</f>
        <v>17255.833207546952</v>
      </c>
      <c r="M11" s="69">
        <f>'Objectifs CO2'!Z40</f>
        <v>665.73372188335156</v>
      </c>
      <c r="N11" s="69">
        <f>'Objectifs CO2'!AA40</f>
        <v>0</v>
      </c>
      <c r="Z11" s="1028" t="s">
        <v>613</v>
      </c>
      <c r="AA11" s="1029"/>
      <c r="AB11" s="357">
        <v>0.26819999999999999</v>
      </c>
    </row>
    <row r="12" spans="1:28" ht="30" customHeight="1" x14ac:dyDescent="0.25">
      <c r="A12" s="451" t="s">
        <v>14</v>
      </c>
      <c r="B12" s="1010" t="s">
        <v>54</v>
      </c>
      <c r="C12" s="1010"/>
      <c r="D12" s="1010"/>
      <c r="E12" s="1010"/>
      <c r="Z12" s="1028" t="s">
        <v>614</v>
      </c>
      <c r="AA12" s="1029"/>
      <c r="AB12" s="357">
        <v>1.18E-2</v>
      </c>
    </row>
    <row r="13" spans="1:28" ht="30" customHeight="1" x14ac:dyDescent="0.25">
      <c r="A13" s="451" t="s">
        <v>3</v>
      </c>
      <c r="B13" s="1010"/>
      <c r="C13" s="1010"/>
      <c r="D13" s="1010"/>
      <c r="E13" s="1010"/>
      <c r="G13" s="450" t="s">
        <v>119</v>
      </c>
      <c r="H13" s="450" t="s">
        <v>462</v>
      </c>
      <c r="I13" s="450" t="s">
        <v>463</v>
      </c>
      <c r="J13" s="450" t="s">
        <v>464</v>
      </c>
      <c r="K13" s="60" t="s">
        <v>465</v>
      </c>
      <c r="L13" s="60" t="s">
        <v>466</v>
      </c>
      <c r="M13" s="60" t="s">
        <v>467</v>
      </c>
      <c r="N13" s="60" t="s">
        <v>468</v>
      </c>
      <c r="Z13" s="1028" t="s">
        <v>615</v>
      </c>
      <c r="AA13" s="1029"/>
      <c r="AB13" s="358">
        <f>AB15/0.55</f>
        <v>0.50363636363636366</v>
      </c>
    </row>
    <row r="14" spans="1:28" ht="30" customHeight="1" x14ac:dyDescent="0.25">
      <c r="A14" s="451" t="s">
        <v>15</v>
      </c>
      <c r="B14" s="1010"/>
      <c r="C14" s="1010"/>
      <c r="D14" s="1010"/>
      <c r="E14" s="1010"/>
      <c r="G14" s="450">
        <f>AB15</f>
        <v>0.27700000000000002</v>
      </c>
      <c r="H14" s="450">
        <f>AB16</f>
        <v>0.20269999999999999</v>
      </c>
      <c r="I14" s="450">
        <f>AB8</f>
        <v>0.26819999999999999</v>
      </c>
      <c r="J14" s="450">
        <f>AB9</f>
        <v>3.1300000000000001E-2</v>
      </c>
      <c r="K14" s="199">
        <v>0.2</v>
      </c>
      <c r="L14" s="199">
        <v>0.55000000000000004</v>
      </c>
      <c r="M14" s="199">
        <v>0.7</v>
      </c>
      <c r="N14" s="199">
        <v>2.7E-2</v>
      </c>
      <c r="Z14" s="1028" t="s">
        <v>616</v>
      </c>
      <c r="AA14" s="1029"/>
      <c r="AB14" s="357">
        <v>0.26819999999999999</v>
      </c>
    </row>
    <row r="15" spans="1:28" ht="30" customHeight="1" x14ac:dyDescent="0.25">
      <c r="A15" s="451" t="s">
        <v>4</v>
      </c>
      <c r="B15" s="1010">
        <v>2006</v>
      </c>
      <c r="C15" s="1010"/>
      <c r="D15" s="1010"/>
      <c r="E15" s="1010"/>
      <c r="K15" s="60" t="s">
        <v>818</v>
      </c>
      <c r="L15" s="60" t="s">
        <v>819</v>
      </c>
      <c r="M15" s="60" t="s">
        <v>820</v>
      </c>
      <c r="N15" s="60" t="s">
        <v>821</v>
      </c>
      <c r="Z15" s="1028" t="s">
        <v>578</v>
      </c>
      <c r="AA15" s="1029"/>
      <c r="AB15" s="357">
        <v>0.27700000000000002</v>
      </c>
    </row>
    <row r="16" spans="1:28" ht="30" customHeight="1" x14ac:dyDescent="0.25">
      <c r="A16" s="451" t="s">
        <v>5</v>
      </c>
      <c r="B16" s="1010">
        <v>2014</v>
      </c>
      <c r="C16" s="1010"/>
      <c r="D16" s="1010"/>
      <c r="E16" s="1010"/>
      <c r="K16" s="199">
        <v>0.12959999999999999</v>
      </c>
      <c r="L16" s="199">
        <v>0.499</v>
      </c>
      <c r="M16" s="199">
        <v>0.78</v>
      </c>
      <c r="N16" s="199">
        <v>0.57999999999999996</v>
      </c>
      <c r="Z16" s="1028" t="s">
        <v>579</v>
      </c>
      <c r="AA16" s="1029"/>
      <c r="AB16" s="357">
        <v>0.20269999999999999</v>
      </c>
    </row>
    <row r="17" spans="1:9" ht="30" customHeight="1" x14ac:dyDescent="0.25">
      <c r="A17" s="451" t="s">
        <v>6</v>
      </c>
      <c r="B17" s="1000">
        <f>B19*0.7</f>
        <v>8810312.6817332674</v>
      </c>
      <c r="C17" s="1000"/>
      <c r="D17" s="1000"/>
      <c r="E17" s="1000"/>
    </row>
    <row r="18" spans="1:9" ht="30" customHeight="1" x14ac:dyDescent="0.25">
      <c r="A18" s="451" t="s">
        <v>7</v>
      </c>
      <c r="B18" s="1000">
        <f>B17*0.1</f>
        <v>881031.26817332674</v>
      </c>
      <c r="C18" s="1000"/>
      <c r="D18" s="1000"/>
      <c r="E18" s="1000"/>
    </row>
    <row r="19" spans="1:9" ht="30" customHeight="1" x14ac:dyDescent="0.25">
      <c r="A19" s="99" t="s">
        <v>307</v>
      </c>
      <c r="B19" s="1039">
        <f>('Objectifs CO2'!AC40)*1000</f>
        <v>12586160.973904669</v>
      </c>
      <c r="C19" s="1040"/>
      <c r="D19" s="1040"/>
      <c r="E19" s="1040"/>
      <c r="G19" s="2"/>
      <c r="H19" s="2"/>
    </row>
    <row r="20" spans="1:9" ht="30" customHeight="1" x14ac:dyDescent="0.25">
      <c r="A20" s="96" t="s">
        <v>306</v>
      </c>
      <c r="B20" s="1041">
        <v>0</v>
      </c>
      <c r="C20" s="1042"/>
      <c r="D20" s="1042"/>
      <c r="E20" s="1042"/>
    </row>
    <row r="21" spans="1:9" ht="30" customHeight="1" x14ac:dyDescent="0.25">
      <c r="A21" s="451" t="s">
        <v>8</v>
      </c>
      <c r="B21" s="1000">
        <f>G22</f>
        <v>3577993.904112637</v>
      </c>
      <c r="C21" s="1000"/>
      <c r="D21" s="1000"/>
      <c r="E21" s="1000"/>
      <c r="G21" s="200" t="s">
        <v>831</v>
      </c>
    </row>
    <row r="22" spans="1:9" ht="30" customHeight="1" x14ac:dyDescent="0.25">
      <c r="A22" s="451" t="s">
        <v>9</v>
      </c>
      <c r="B22" s="1000">
        <v>0</v>
      </c>
      <c r="C22" s="1000"/>
      <c r="D22" s="1000"/>
      <c r="E22" s="1000"/>
      <c r="G22" s="201">
        <f>((G11-K11)*K16+(H11-L11)*L16+(I11-M11)*M16+(J11-N11)*N16)*1000</f>
        <v>3577993.904112637</v>
      </c>
    </row>
    <row r="23" spans="1:9" ht="30" customHeight="1" x14ac:dyDescent="0.25">
      <c r="A23" s="451" t="s">
        <v>301</v>
      </c>
      <c r="B23" s="1069">
        <f>B17/(B21+B22)</f>
        <v>2.4623610095049266</v>
      </c>
      <c r="C23" s="1069"/>
      <c r="D23" s="1069"/>
      <c r="E23" s="1069"/>
    </row>
    <row r="24" spans="1:9" ht="30" customHeight="1" x14ac:dyDescent="0.25">
      <c r="A24" s="451" t="s">
        <v>302</v>
      </c>
      <c r="B24" s="1017">
        <f>(B17-B18)/(B21+B22)</f>
        <v>2.2161249085544341</v>
      </c>
      <c r="C24" s="1017"/>
      <c r="D24" s="1017"/>
      <c r="E24" s="1017"/>
    </row>
    <row r="25" spans="1:9" ht="30" customHeight="1" x14ac:dyDescent="0.25">
      <c r="A25" s="100" t="s">
        <v>305</v>
      </c>
      <c r="B25" s="1070">
        <f>'Objectifs CO2'!O40</f>
        <v>3073.8093019976477</v>
      </c>
      <c r="C25" s="1070"/>
      <c r="D25" s="1070"/>
      <c r="E25" s="1070"/>
    </row>
    <row r="26" spans="1:9" ht="30" customHeight="1" x14ac:dyDescent="0.25">
      <c r="A26" s="101" t="s">
        <v>303</v>
      </c>
      <c r="B26" s="1021">
        <f>B25/'Objectifs CO2'!C7</f>
        <v>2.8353926868958563</v>
      </c>
      <c r="C26" s="1021"/>
      <c r="D26" s="1021"/>
      <c r="E26" s="1021"/>
    </row>
    <row r="27" spans="1:9" ht="30" customHeight="1" x14ac:dyDescent="0.25">
      <c r="A27" s="101" t="s">
        <v>304</v>
      </c>
      <c r="B27" s="1044">
        <f>B25/'Objectifs CO2'!C4</f>
        <v>0.14176963434479281</v>
      </c>
      <c r="C27" s="1045"/>
      <c r="D27" s="1045"/>
      <c r="E27" s="1045"/>
    </row>
    <row r="28" spans="1:9" ht="30" customHeight="1" x14ac:dyDescent="0.25">
      <c r="A28" s="101" t="s">
        <v>22</v>
      </c>
      <c r="B28" s="1010" t="s">
        <v>33</v>
      </c>
      <c r="C28" s="1010"/>
      <c r="D28" s="1010"/>
      <c r="E28" s="1010"/>
    </row>
    <row r="29" spans="1:9" ht="30" customHeight="1" x14ac:dyDescent="0.25">
      <c r="A29" s="101" t="s">
        <v>257</v>
      </c>
      <c r="B29" s="999"/>
      <c r="C29" s="999"/>
      <c r="D29" s="999"/>
      <c r="E29" s="999"/>
    </row>
    <row r="31" spans="1:9" x14ac:dyDescent="0.25">
      <c r="A31" s="603" t="s">
        <v>1065</v>
      </c>
      <c r="B31" s="1003" t="s">
        <v>675</v>
      </c>
      <c r="C31" s="1003"/>
      <c r="D31" s="1003"/>
      <c r="E31" s="439"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1:E21"/>
    <mergeCell ref="B22:E22"/>
    <mergeCell ref="B23:E23"/>
    <mergeCell ref="B11:E11"/>
    <mergeCell ref="B12:E12"/>
    <mergeCell ref="B13:E13"/>
    <mergeCell ref="B20:E20"/>
    <mergeCell ref="B19:E19"/>
    <mergeCell ref="G4:H4"/>
    <mergeCell ref="G5:H5"/>
    <mergeCell ref="G6:H6"/>
    <mergeCell ref="G7:H7"/>
    <mergeCell ref="B4:E4"/>
    <mergeCell ref="B5:E5"/>
    <mergeCell ref="B6:E6"/>
    <mergeCell ref="B7:E7"/>
    <mergeCell ref="B8:E8"/>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1:D31"/>
    <mergeCell ref="B32:D32"/>
    <mergeCell ref="B16:E16"/>
    <mergeCell ref="B14:E14"/>
    <mergeCell ref="B17:E17"/>
    <mergeCell ref="B18:E18"/>
    <mergeCell ref="B15:E15"/>
    <mergeCell ref="B24:E24"/>
    <mergeCell ref="B9:E9"/>
    <mergeCell ref="B25:E25"/>
    <mergeCell ref="B29:E29"/>
    <mergeCell ref="B10:E10"/>
    <mergeCell ref="B26:E26"/>
    <mergeCell ref="B27:E27"/>
    <mergeCell ref="B28:E28"/>
    <mergeCell ref="G2:H2"/>
    <mergeCell ref="B3:E3"/>
    <mergeCell ref="G3:H3"/>
    <mergeCell ref="Z5:AB5"/>
    <mergeCell ref="Z6:AA6"/>
    <mergeCell ref="Z8:AA8"/>
    <mergeCell ref="Z9:AA9"/>
    <mergeCell ref="Z10:AA10"/>
    <mergeCell ref="Z16:AA16"/>
    <mergeCell ref="Z11:AA11"/>
    <mergeCell ref="Z12:AA12"/>
    <mergeCell ref="Z13:AA13"/>
    <mergeCell ref="Z14:AA14"/>
    <mergeCell ref="Z15:AA15"/>
  </mergeCells>
  <conditionalFormatting sqref="B5">
    <cfRule type="containsText" dxfId="275" priority="1" operator="containsText" text="Terminé">
      <formula>NOT(ISERROR(SEARCH("Terminé",B5)))</formula>
    </cfRule>
    <cfRule type="containsText" dxfId="274" priority="2" operator="containsText" text="En cours">
      <formula>NOT(ISERROR(SEARCH("En cours",B5)))</formula>
    </cfRule>
    <cfRule type="containsText" dxfId="27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69"/>
  <sheetViews>
    <sheetView topLeftCell="B18" zoomScaleNormal="100"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759</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38</v>
      </c>
      <c r="C4" s="996"/>
      <c r="D4" s="996"/>
      <c r="E4" s="996"/>
      <c r="F4" s="7"/>
      <c r="G4" s="986" t="s">
        <v>753</v>
      </c>
      <c r="H4" s="986"/>
    </row>
    <row r="5" spans="1:28" ht="19.5" customHeight="1" x14ac:dyDescent="0.25">
      <c r="A5" s="403" t="s">
        <v>16</v>
      </c>
      <c r="B5" s="1015" t="s">
        <v>20</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400"/>
      <c r="J7" s="400"/>
      <c r="Z7" s="444"/>
      <c r="AA7" s="445"/>
      <c r="AB7" s="357"/>
    </row>
    <row r="8" spans="1:28" ht="24" customHeight="1" x14ac:dyDescent="0.25">
      <c r="A8" s="222" t="s">
        <v>1</v>
      </c>
      <c r="B8" s="967"/>
      <c r="C8" s="967"/>
      <c r="D8" s="967"/>
      <c r="E8" s="967"/>
      <c r="G8" s="997" t="s">
        <v>936</v>
      </c>
      <c r="I8" s="60" t="s">
        <v>117</v>
      </c>
      <c r="J8" s="60" t="s">
        <v>118</v>
      </c>
      <c r="Z8" s="1028" t="s">
        <v>611</v>
      </c>
      <c r="AA8" s="1029"/>
      <c r="AB8" s="357">
        <v>0.26819999999999999</v>
      </c>
    </row>
    <row r="9" spans="1:28" ht="24" customHeight="1" x14ac:dyDescent="0.25">
      <c r="A9" s="222" t="s">
        <v>0</v>
      </c>
      <c r="B9" s="967"/>
      <c r="C9" s="967"/>
      <c r="D9" s="967"/>
      <c r="E9" s="967"/>
      <c r="G9" s="997"/>
      <c r="I9" s="60">
        <v>0.7</v>
      </c>
      <c r="J9" s="60">
        <f>AB8</f>
        <v>0.26819999999999999</v>
      </c>
      <c r="Z9" s="1028" t="s">
        <v>612</v>
      </c>
      <c r="AA9" s="1029"/>
      <c r="AB9" s="357">
        <v>3.1300000000000001E-2</v>
      </c>
    </row>
    <row r="10" spans="1:28" ht="36.75" customHeight="1" x14ac:dyDescent="0.25">
      <c r="A10" s="222" t="s">
        <v>2</v>
      </c>
      <c r="B10" s="1034"/>
      <c r="C10" s="1034"/>
      <c r="D10" s="1034"/>
      <c r="E10" s="1034"/>
      <c r="G10" s="997"/>
      <c r="H10" s="7"/>
      <c r="Z10" s="1028"/>
      <c r="AA10" s="1029"/>
      <c r="AB10" s="357"/>
    </row>
    <row r="11" spans="1:28" ht="35.25" customHeight="1" x14ac:dyDescent="0.25">
      <c r="A11" s="222" t="s">
        <v>29</v>
      </c>
      <c r="B11" s="1035"/>
      <c r="C11" s="1035"/>
      <c r="D11" s="1035"/>
      <c r="E11" s="1035"/>
      <c r="G11" s="225">
        <f>SUM(J17:J30)</f>
        <v>0</v>
      </c>
      <c r="H11" s="131" t="s">
        <v>928</v>
      </c>
      <c r="Z11" s="1028" t="s">
        <v>613</v>
      </c>
      <c r="AA11" s="1029"/>
      <c r="AB11" s="357">
        <v>0.26819999999999999</v>
      </c>
    </row>
    <row r="12" spans="1:28" ht="30" customHeight="1" x14ac:dyDescent="0.25">
      <c r="A12" s="222" t="s">
        <v>14</v>
      </c>
      <c r="B12" s="1010"/>
      <c r="C12" s="1010"/>
      <c r="D12" s="1010"/>
      <c r="E12" s="1010"/>
      <c r="G12" s="225">
        <f>SUM(J17:K30)</f>
        <v>0</v>
      </c>
      <c r="H12" s="185" t="s">
        <v>522</v>
      </c>
      <c r="Z12" s="1028" t="s">
        <v>614</v>
      </c>
      <c r="AA12" s="1029"/>
      <c r="AB12" s="357">
        <v>1.18E-2</v>
      </c>
    </row>
    <row r="13" spans="1:28" ht="30" customHeight="1" x14ac:dyDescent="0.25">
      <c r="A13" s="222" t="s">
        <v>3</v>
      </c>
      <c r="B13" s="1010"/>
      <c r="C13" s="1010"/>
      <c r="D13" s="1010"/>
      <c r="E13" s="1010"/>
      <c r="G13" s="225">
        <f>SUM(J17:L30)</f>
        <v>0</v>
      </c>
      <c r="H13" s="431" t="s">
        <v>523</v>
      </c>
      <c r="Z13" s="1028" t="s">
        <v>615</v>
      </c>
      <c r="AA13" s="1029"/>
      <c r="AB13" s="358">
        <f>AB15/0.55</f>
        <v>0.50363636363636366</v>
      </c>
    </row>
    <row r="14" spans="1:28" ht="30" customHeight="1" thickBot="1" x14ac:dyDescent="0.3">
      <c r="A14" s="222" t="s">
        <v>15</v>
      </c>
      <c r="B14" s="1010"/>
      <c r="C14" s="1010"/>
      <c r="D14" s="1010"/>
      <c r="E14" s="1010"/>
      <c r="Z14" s="1028" t="s">
        <v>616</v>
      </c>
      <c r="AA14" s="1029"/>
      <c r="AB14" s="357">
        <v>0.26819999999999999</v>
      </c>
    </row>
    <row r="15" spans="1:28" ht="30" customHeight="1" thickTop="1" x14ac:dyDescent="0.25">
      <c r="A15" s="222" t="s">
        <v>4</v>
      </c>
      <c r="B15" s="1010"/>
      <c r="C15" s="1010"/>
      <c r="D15" s="1010"/>
      <c r="E15" s="1010"/>
      <c r="G15" s="434" t="s">
        <v>936</v>
      </c>
      <c r="H15" s="435"/>
      <c r="I15" s="435"/>
      <c r="J15" s="435"/>
      <c r="K15" s="435"/>
      <c r="L15" s="436"/>
      <c r="Z15" s="1028" t="s">
        <v>578</v>
      </c>
      <c r="AA15" s="1029"/>
      <c r="AB15" s="357">
        <v>0.27700000000000002</v>
      </c>
    </row>
    <row r="16" spans="1:28" ht="30" customHeight="1" x14ac:dyDescent="0.25">
      <c r="A16" s="222" t="s">
        <v>5</v>
      </c>
      <c r="B16" s="1010"/>
      <c r="C16" s="1010"/>
      <c r="D16" s="1010"/>
      <c r="E16" s="1010"/>
      <c r="G16" s="246" t="s">
        <v>517</v>
      </c>
      <c r="H16" s="247" t="s">
        <v>526</v>
      </c>
      <c r="I16" s="247" t="s">
        <v>527</v>
      </c>
      <c r="J16" s="249" t="s">
        <v>524</v>
      </c>
      <c r="K16" s="247" t="s">
        <v>520</v>
      </c>
      <c r="L16" s="248" t="s">
        <v>200</v>
      </c>
      <c r="Z16" s="1028" t="s">
        <v>579</v>
      </c>
      <c r="AA16" s="1029"/>
      <c r="AB16" s="357">
        <v>0.20269999999999999</v>
      </c>
    </row>
    <row r="17" spans="1:16" ht="30" customHeight="1" x14ac:dyDescent="0.25">
      <c r="A17" s="222" t="s">
        <v>6</v>
      </c>
      <c r="B17" s="1000"/>
      <c r="C17" s="1000"/>
      <c r="D17" s="1000"/>
      <c r="E17" s="1000"/>
      <c r="G17" s="246"/>
      <c r="H17" s="530"/>
      <c r="I17" s="78"/>
      <c r="J17" s="528">
        <f t="shared" ref="J17:J18" si="0">(H17-I17)*10</f>
        <v>0</v>
      </c>
      <c r="K17" s="78"/>
      <c r="L17" s="531"/>
      <c r="M17" s="1035"/>
      <c r="N17" s="1035"/>
      <c r="O17" s="1035"/>
      <c r="P17" s="1035"/>
    </row>
    <row r="18" spans="1:16" ht="30" customHeight="1" x14ac:dyDescent="0.25">
      <c r="A18" s="222" t="s">
        <v>7</v>
      </c>
      <c r="B18" s="1000"/>
      <c r="C18" s="1000"/>
      <c r="D18" s="1000"/>
      <c r="E18" s="1000"/>
      <c r="G18" s="246"/>
      <c r="H18" s="530"/>
      <c r="I18" s="78"/>
      <c r="J18" s="528">
        <f t="shared" si="0"/>
        <v>0</v>
      </c>
      <c r="K18" s="78"/>
      <c r="L18" s="531"/>
      <c r="M18" s="1035"/>
      <c r="N18" s="1035"/>
      <c r="O18" s="1035"/>
      <c r="P18" s="1035"/>
    </row>
    <row r="19" spans="1:16" ht="30" customHeight="1" x14ac:dyDescent="0.25">
      <c r="A19" s="99" t="s">
        <v>307</v>
      </c>
      <c r="B19" s="1039"/>
      <c r="C19" s="1040"/>
      <c r="D19" s="1040"/>
      <c r="E19" s="1040"/>
      <c r="F19" s="33"/>
      <c r="G19" s="246"/>
      <c r="H19" s="530"/>
      <c r="I19" s="78"/>
      <c r="J19" s="525">
        <f>(H19-I19)*10</f>
        <v>0</v>
      </c>
      <c r="K19" s="78"/>
      <c r="L19" s="531"/>
      <c r="M19" s="1035"/>
      <c r="N19" s="1035"/>
      <c r="O19" s="1035"/>
      <c r="P19" s="1035"/>
    </row>
    <row r="20" spans="1:16" ht="30" customHeight="1" x14ac:dyDescent="0.25">
      <c r="A20" s="96" t="s">
        <v>306</v>
      </c>
      <c r="B20" s="1041">
        <f>G11</f>
        <v>0</v>
      </c>
      <c r="C20" s="1042"/>
      <c r="D20" s="1042"/>
      <c r="E20" s="1042"/>
      <c r="G20" s="246"/>
      <c r="H20" s="530"/>
      <c r="I20" s="78"/>
      <c r="J20" s="525">
        <f>(H20-I20)*10</f>
        <v>0</v>
      </c>
      <c r="K20" s="78"/>
      <c r="L20" s="531"/>
      <c r="M20" s="1035"/>
      <c r="N20" s="1035"/>
      <c r="O20" s="1035"/>
      <c r="P20" s="1035"/>
    </row>
    <row r="21" spans="1:16" ht="30" customHeight="1" x14ac:dyDescent="0.25">
      <c r="A21" s="222" t="s">
        <v>8</v>
      </c>
      <c r="B21" s="1000">
        <f>B20*I9/10</f>
        <v>0</v>
      </c>
      <c r="C21" s="1000"/>
      <c r="D21" s="1000"/>
      <c r="E21" s="1000"/>
      <c r="G21" s="246"/>
      <c r="H21" s="530"/>
      <c r="I21" s="78"/>
      <c r="J21" s="525">
        <f>(H21-I21)*10</f>
        <v>0</v>
      </c>
      <c r="K21" s="78"/>
      <c r="L21" s="531"/>
      <c r="M21" s="1035"/>
      <c r="N21" s="1035"/>
      <c r="O21" s="1035"/>
      <c r="P21" s="1035"/>
    </row>
    <row r="22" spans="1:16" ht="30" customHeight="1" x14ac:dyDescent="0.25">
      <c r="A22" s="222" t="s">
        <v>9</v>
      </c>
      <c r="B22" s="1000">
        <f>B20/1000*L11*4</f>
        <v>0</v>
      </c>
      <c r="C22" s="1000"/>
      <c r="D22" s="1000"/>
      <c r="E22" s="1000"/>
      <c r="G22" s="246"/>
      <c r="H22" s="530"/>
      <c r="I22" s="78"/>
      <c r="J22" s="525">
        <f>(H22-I22)*10</f>
        <v>0</v>
      </c>
      <c r="K22" s="78"/>
      <c r="L22" s="531"/>
    </row>
    <row r="23" spans="1:16" ht="30" customHeight="1" x14ac:dyDescent="0.25">
      <c r="A23" s="222" t="s">
        <v>301</v>
      </c>
      <c r="B23" s="1016" t="e">
        <f>B17/(B21+B22)</f>
        <v>#DIV/0!</v>
      </c>
      <c r="C23" s="1016"/>
      <c r="D23" s="1016"/>
      <c r="E23" s="1016"/>
      <c r="G23" s="246"/>
      <c r="H23" s="530"/>
      <c r="I23" s="78"/>
      <c r="J23" s="525">
        <f>(H23-I23)</f>
        <v>0</v>
      </c>
      <c r="K23" s="78"/>
      <c r="L23" s="531"/>
    </row>
    <row r="24" spans="1:16" ht="30" customHeight="1" x14ac:dyDescent="0.25">
      <c r="A24" s="222" t="s">
        <v>302</v>
      </c>
      <c r="B24" s="1017" t="e">
        <f>(B17-B18)/(B21+B22)</f>
        <v>#DIV/0!</v>
      </c>
      <c r="C24" s="1017"/>
      <c r="D24" s="1017"/>
      <c r="E24" s="1017"/>
      <c r="G24" s="246"/>
      <c r="H24" s="530"/>
      <c r="I24" s="78"/>
      <c r="J24" s="525">
        <f>(H24-I24)*10</f>
        <v>0</v>
      </c>
      <c r="K24" s="78"/>
      <c r="L24" s="531"/>
    </row>
    <row r="25" spans="1:16" ht="30" customHeight="1" x14ac:dyDescent="0.25">
      <c r="A25" s="100" t="s">
        <v>305</v>
      </c>
      <c r="B25" s="1070">
        <f>B20*J9/1000</f>
        <v>0</v>
      </c>
      <c r="C25" s="1070"/>
      <c r="D25" s="1070"/>
      <c r="E25" s="1070"/>
      <c r="G25" s="246"/>
      <c r="H25" s="530"/>
      <c r="I25" s="78"/>
      <c r="J25" s="525">
        <f>(H25-I25)</f>
        <v>0</v>
      </c>
      <c r="K25" s="78"/>
      <c r="L25" s="531"/>
    </row>
    <row r="26" spans="1:16" ht="30" customHeight="1" x14ac:dyDescent="0.25">
      <c r="A26" s="101" t="s">
        <v>303</v>
      </c>
      <c r="B26" s="1071">
        <f>B25/'Objectifs CO2'!C6</f>
        <v>0</v>
      </c>
      <c r="C26" s="1071"/>
      <c r="D26" s="1071"/>
      <c r="E26" s="1071"/>
      <c r="G26" s="246"/>
      <c r="H26" s="530"/>
      <c r="I26" s="78"/>
      <c r="J26" s="525"/>
      <c r="K26" s="78"/>
      <c r="L26" s="531"/>
    </row>
    <row r="27" spans="1:16" ht="30" customHeight="1" x14ac:dyDescent="0.25">
      <c r="A27" s="101" t="s">
        <v>304</v>
      </c>
      <c r="B27" s="1056">
        <f>B25/'Objectifs CO2'!C4</f>
        <v>0</v>
      </c>
      <c r="C27" s="1057"/>
      <c r="D27" s="1057"/>
      <c r="E27" s="1057"/>
      <c r="G27" s="533"/>
      <c r="H27" s="530"/>
      <c r="I27" s="78"/>
      <c r="J27" s="525"/>
      <c r="K27" s="78"/>
      <c r="L27" s="531"/>
    </row>
    <row r="28" spans="1:16" ht="30" customHeight="1" x14ac:dyDescent="0.25">
      <c r="A28" s="101" t="s">
        <v>22</v>
      </c>
      <c r="B28" s="999" t="s">
        <v>10</v>
      </c>
      <c r="C28" s="999"/>
      <c r="D28" s="999"/>
      <c r="E28" s="999"/>
      <c r="G28" s="534"/>
      <c r="H28" s="78"/>
      <c r="I28" s="78"/>
      <c r="J28" s="525"/>
      <c r="K28" s="78"/>
      <c r="L28" s="531"/>
    </row>
    <row r="29" spans="1:16" ht="30" customHeight="1" x14ac:dyDescent="0.25">
      <c r="A29" s="101" t="s">
        <v>257</v>
      </c>
      <c r="B29" s="999"/>
      <c r="C29" s="999"/>
      <c r="D29" s="999"/>
      <c r="E29" s="999"/>
      <c r="G29" s="534"/>
      <c r="H29" s="78"/>
      <c r="I29" s="78"/>
      <c r="J29" s="525"/>
      <c r="K29" s="78"/>
      <c r="L29" s="531"/>
    </row>
    <row r="30" spans="1:16" ht="15.75" thickBot="1" x14ac:dyDescent="0.3">
      <c r="G30" s="535"/>
      <c r="H30" s="536"/>
      <c r="I30" s="536"/>
      <c r="J30" s="537"/>
      <c r="K30" s="536"/>
      <c r="L30" s="538"/>
    </row>
    <row r="31" spans="1:16" ht="15.75" thickTop="1" x14ac:dyDescent="0.25">
      <c r="A31" s="603" t="s">
        <v>1065</v>
      </c>
      <c r="B31" s="1003" t="s">
        <v>675</v>
      </c>
      <c r="C31" s="1003"/>
      <c r="D31" s="1003"/>
      <c r="E31" s="56" t="s">
        <v>676</v>
      </c>
      <c r="J31" s="231"/>
      <c r="K31" s="231"/>
      <c r="L31" s="231"/>
    </row>
    <row r="32" spans="1:16" x14ac:dyDescent="0.25">
      <c r="A32" s="377"/>
      <c r="B32" s="992" t="s">
        <v>677</v>
      </c>
      <c r="C32" s="992"/>
      <c r="D32" s="992"/>
      <c r="E32" s="374"/>
      <c r="G32" s="1004" t="s">
        <v>676</v>
      </c>
      <c r="H32" s="1004"/>
      <c r="I32" s="1004"/>
      <c r="J32" s="231"/>
      <c r="K32" s="231"/>
      <c r="L32" s="231"/>
    </row>
    <row r="33" spans="1:31" x14ac:dyDescent="0.25">
      <c r="A33" s="377"/>
      <c r="B33" s="992" t="s">
        <v>678</v>
      </c>
      <c r="C33" s="992"/>
      <c r="D33" s="992"/>
      <c r="E33" s="374"/>
      <c r="G33" s="375">
        <v>3</v>
      </c>
      <c r="H33" s="1004" t="s">
        <v>679</v>
      </c>
      <c r="I33" s="1004"/>
    </row>
    <row r="34" spans="1:31" x14ac:dyDescent="0.25">
      <c r="A34" s="377"/>
      <c r="B34" s="992" t="s">
        <v>680</v>
      </c>
      <c r="C34" s="992"/>
      <c r="D34" s="992"/>
      <c r="E34" s="374"/>
      <c r="G34" s="375">
        <v>2</v>
      </c>
      <c r="H34" s="1004" t="s">
        <v>681</v>
      </c>
      <c r="I34" s="1004"/>
    </row>
    <row r="35" spans="1:31" x14ac:dyDescent="0.25">
      <c r="A35" s="377"/>
      <c r="B35" s="992" t="s">
        <v>682</v>
      </c>
      <c r="C35" s="992"/>
      <c r="D35" s="992"/>
      <c r="E35" s="374"/>
      <c r="G35" s="375">
        <v>1</v>
      </c>
      <c r="H35" s="1004" t="s">
        <v>683</v>
      </c>
      <c r="I35" s="1004"/>
    </row>
    <row r="36" spans="1:31" x14ac:dyDescent="0.25">
      <c r="A36" s="377"/>
      <c r="B36" s="992" t="s">
        <v>684</v>
      </c>
      <c r="C36" s="992"/>
      <c r="D36" s="992"/>
      <c r="E36" s="374"/>
      <c r="S36" s="227" t="s">
        <v>508</v>
      </c>
      <c r="T36" s="228"/>
      <c r="V36" s="227" t="s">
        <v>509</v>
      </c>
      <c r="Z36" s="227" t="s">
        <v>510</v>
      </c>
      <c r="AA36" s="228"/>
      <c r="AD36" s="227" t="s">
        <v>898</v>
      </c>
      <c r="AE36" s="228"/>
    </row>
    <row r="37" spans="1:31" x14ac:dyDescent="0.25">
      <c r="A37" s="377"/>
      <c r="B37" s="992" t="s">
        <v>685</v>
      </c>
      <c r="C37" s="992"/>
      <c r="D37" s="992"/>
      <c r="E37" s="374"/>
      <c r="S37" s="230" t="s">
        <v>515</v>
      </c>
      <c r="T37" s="230">
        <v>67</v>
      </c>
      <c r="U37" s="231"/>
      <c r="V37" s="229"/>
      <c r="W37" s="231"/>
      <c r="X37" s="231"/>
      <c r="Y37" s="231"/>
      <c r="Z37" s="229"/>
      <c r="AA37" s="230"/>
      <c r="AB37" s="231"/>
      <c r="AC37" s="231"/>
      <c r="AD37" s="229"/>
      <c r="AE37" s="230"/>
    </row>
    <row r="38" spans="1:31" x14ac:dyDescent="0.25">
      <c r="A38" s="377"/>
      <c r="B38" s="992" t="s">
        <v>686</v>
      </c>
      <c r="C38" s="992"/>
      <c r="D38" s="992"/>
      <c r="E38" s="374"/>
      <c r="S38" s="230" t="s">
        <v>516</v>
      </c>
      <c r="T38" s="230">
        <v>85</v>
      </c>
      <c r="U38" s="231"/>
      <c r="V38" s="229"/>
      <c r="W38" s="231"/>
      <c r="X38" s="231"/>
      <c r="Y38" s="231"/>
      <c r="Z38" s="229"/>
      <c r="AA38" s="230"/>
      <c r="AB38" s="231"/>
      <c r="AC38" s="231"/>
      <c r="AD38" s="229"/>
      <c r="AE38" s="230"/>
    </row>
    <row r="39" spans="1:31" x14ac:dyDescent="0.25">
      <c r="A39" s="377"/>
      <c r="B39" s="992" t="s">
        <v>687</v>
      </c>
      <c r="C39" s="992"/>
      <c r="D39" s="992"/>
      <c r="E39" s="374"/>
      <c r="S39" s="232"/>
      <c r="T39" s="232"/>
      <c r="U39" s="231"/>
      <c r="V39" s="229"/>
      <c r="W39" s="231"/>
      <c r="X39" s="231"/>
      <c r="Y39" s="231"/>
      <c r="Z39" s="232"/>
      <c r="AA39" s="232"/>
      <c r="AB39" s="231"/>
      <c r="AC39" s="231"/>
      <c r="AD39" s="229"/>
      <c r="AE39" s="230"/>
    </row>
    <row r="40" spans="1:31" x14ac:dyDescent="0.25">
      <c r="A40" s="377"/>
      <c r="B40" s="992" t="s">
        <v>688</v>
      </c>
      <c r="C40" s="992"/>
      <c r="D40" s="992"/>
      <c r="E40" s="374"/>
      <c r="G40" s="1005" t="s">
        <v>689</v>
      </c>
      <c r="H40" s="1005"/>
      <c r="I40" s="1005"/>
      <c r="S40" s="232"/>
      <c r="T40" s="232"/>
      <c r="U40" s="231"/>
      <c r="V40" s="229"/>
      <c r="W40" s="231"/>
      <c r="X40" s="231"/>
      <c r="Y40" s="231"/>
      <c r="Z40" s="232"/>
      <c r="AA40" s="232"/>
      <c r="AB40" s="231"/>
      <c r="AC40" s="231"/>
      <c r="AD40" s="229"/>
      <c r="AE40" s="230"/>
    </row>
    <row r="41" spans="1:31" x14ac:dyDescent="0.25">
      <c r="A41" s="377"/>
      <c r="B41" s="992" t="s">
        <v>843</v>
      </c>
      <c r="C41" s="992"/>
      <c r="D41" s="992"/>
      <c r="E41" s="374"/>
      <c r="G41" s="377" t="s">
        <v>690</v>
      </c>
      <c r="H41" s="378" t="s">
        <v>691</v>
      </c>
      <c r="I41" s="377" t="s">
        <v>692</v>
      </c>
      <c r="S41" s="232"/>
      <c r="T41" s="232"/>
      <c r="U41" s="231"/>
      <c r="V41" s="232"/>
      <c r="W41" s="231"/>
      <c r="X41" s="231"/>
      <c r="Y41" s="231"/>
      <c r="Z41" s="232"/>
      <c r="AA41" s="232"/>
      <c r="AB41" s="231"/>
      <c r="AC41" s="231"/>
      <c r="AD41" s="233"/>
      <c r="AE41" s="232"/>
    </row>
    <row r="42" spans="1:31" x14ac:dyDescent="0.25">
      <c r="A42" s="377"/>
      <c r="B42" s="988" t="s">
        <v>247</v>
      </c>
      <c r="C42" s="988"/>
      <c r="D42" s="988"/>
      <c r="E42" s="376">
        <f>SUM(E32:E40)</f>
        <v>0</v>
      </c>
      <c r="G42" s="377" t="s">
        <v>693</v>
      </c>
      <c r="H42" s="377" t="s">
        <v>694</v>
      </c>
      <c r="I42" s="377" t="s">
        <v>695</v>
      </c>
      <c r="S42" s="232"/>
      <c r="T42" s="232"/>
      <c r="U42" s="231"/>
      <c r="V42" s="232"/>
      <c r="W42" s="231"/>
      <c r="X42" s="231"/>
      <c r="Y42" s="231"/>
      <c r="Z42" s="232"/>
      <c r="AA42" s="232"/>
      <c r="AB42" s="231"/>
      <c r="AC42" s="231"/>
      <c r="AD42" s="233"/>
      <c r="AE42" s="232"/>
    </row>
    <row r="43" spans="1:31" x14ac:dyDescent="0.25">
      <c r="A43" s="497"/>
      <c r="E43" s="94" t="s">
        <v>730</v>
      </c>
      <c r="S43" s="234"/>
      <c r="T43" s="234"/>
      <c r="U43" s="231"/>
      <c r="V43" s="234"/>
      <c r="W43" s="231"/>
      <c r="X43" s="231"/>
      <c r="Y43" s="231"/>
      <c r="Z43" s="234"/>
      <c r="AA43" s="234"/>
      <c r="AB43" s="231"/>
      <c r="AC43" s="231"/>
      <c r="AD43" s="235"/>
      <c r="AE43" s="234"/>
    </row>
    <row r="44" spans="1:31" x14ac:dyDescent="0.25">
      <c r="A44" s="497"/>
      <c r="B44" s="989" t="s">
        <v>696</v>
      </c>
      <c r="C44" s="990"/>
      <c r="D44" s="991"/>
      <c r="E44" s="267">
        <v>1</v>
      </c>
      <c r="G44" s="377">
        <v>1</v>
      </c>
      <c r="H44" s="377" t="s">
        <v>697</v>
      </c>
      <c r="S44" s="234"/>
      <c r="T44" s="234"/>
      <c r="U44" s="231"/>
      <c r="V44" s="234"/>
      <c r="W44" s="231"/>
      <c r="X44" s="231"/>
      <c r="Y44" s="231"/>
      <c r="Z44" s="234"/>
      <c r="AA44" s="234"/>
      <c r="AB44" s="231"/>
      <c r="AC44" s="231"/>
      <c r="AD44" s="235"/>
      <c r="AE44" s="234"/>
    </row>
    <row r="45" spans="1:31" x14ac:dyDescent="0.25">
      <c r="G45" s="377">
        <v>0</v>
      </c>
      <c r="H45" s="377" t="s">
        <v>698</v>
      </c>
      <c r="S45" s="234"/>
      <c r="T45" s="234"/>
      <c r="U45" s="231"/>
      <c r="V45" s="234"/>
      <c r="W45" s="231"/>
      <c r="X45" s="231"/>
      <c r="Y45" s="231"/>
      <c r="Z45" s="234"/>
      <c r="AA45" s="234"/>
      <c r="AB45" s="231"/>
      <c r="AC45" s="231"/>
      <c r="AD45" s="235"/>
      <c r="AE45" s="234"/>
    </row>
    <row r="46" spans="1:31" x14ac:dyDescent="0.25">
      <c r="G46" s="1022" t="s">
        <v>965</v>
      </c>
      <c r="H46" s="1022"/>
      <c r="I46" s="1022"/>
      <c r="J46" s="1022"/>
      <c r="K46" s="1022"/>
      <c r="L46" s="1022"/>
      <c r="S46" s="234"/>
      <c r="T46" s="234"/>
      <c r="U46" s="231"/>
      <c r="V46" s="234"/>
      <c r="W46" s="231"/>
      <c r="X46" s="231"/>
      <c r="Y46" s="231"/>
      <c r="Z46" s="234"/>
      <c r="AA46" s="234"/>
      <c r="AB46" s="231"/>
      <c r="AC46" s="231"/>
      <c r="AD46" s="235"/>
      <c r="AE46" s="234"/>
    </row>
    <row r="47" spans="1:31" x14ac:dyDescent="0.25">
      <c r="A47" s="959" t="s">
        <v>966</v>
      </c>
      <c r="B47" s="1022"/>
      <c r="C47" s="1022"/>
      <c r="D47" s="1022"/>
      <c r="E47" s="1022"/>
      <c r="F47" s="1022"/>
      <c r="G47" s="1022"/>
      <c r="H47" s="1022"/>
      <c r="I47" s="1022"/>
      <c r="J47" s="1022"/>
      <c r="K47" s="1022"/>
      <c r="L47" s="1022"/>
      <c r="S47" s="234"/>
      <c r="T47" s="234"/>
      <c r="U47" s="231"/>
      <c r="V47" s="234"/>
      <c r="W47" s="231"/>
      <c r="X47" s="231"/>
      <c r="Y47" s="231"/>
      <c r="Z47" s="234"/>
      <c r="AA47" s="234"/>
      <c r="AB47" s="231"/>
      <c r="AC47" s="231"/>
      <c r="AD47" s="235"/>
      <c r="AE47" s="234"/>
    </row>
    <row r="48" spans="1:31" x14ac:dyDescent="0.25">
      <c r="A48" s="959"/>
      <c r="B48" s="1022"/>
      <c r="C48" s="1022"/>
      <c r="D48" s="1022"/>
      <c r="E48" s="1022"/>
      <c r="F48" s="1022"/>
      <c r="G48" s="1022"/>
      <c r="H48" s="1022"/>
      <c r="I48" s="1022"/>
      <c r="J48" s="1022"/>
      <c r="K48" s="1022"/>
      <c r="L48" s="1022"/>
      <c r="S48" s="234"/>
      <c r="T48" s="234"/>
      <c r="U48" s="231"/>
      <c r="V48" s="234"/>
      <c r="W48" s="231"/>
      <c r="X48" s="231"/>
      <c r="Y48" s="231"/>
      <c r="Z48" s="234"/>
      <c r="AA48" s="234"/>
      <c r="AB48" s="231"/>
      <c r="AC48" s="231"/>
      <c r="AD48" s="235"/>
      <c r="AE48" s="234"/>
    </row>
    <row r="49" spans="1:31" x14ac:dyDescent="0.25">
      <c r="A49" s="959"/>
      <c r="B49" s="1022"/>
      <c r="C49" s="1022"/>
      <c r="D49" s="1022"/>
      <c r="E49" s="1022"/>
      <c r="F49" s="1022"/>
      <c r="G49" s="1022"/>
      <c r="H49" s="1022"/>
      <c r="I49" s="1022"/>
      <c r="J49" s="1022"/>
      <c r="K49" s="1022"/>
      <c r="L49" s="1022"/>
      <c r="S49" s="234"/>
      <c r="T49" s="234"/>
      <c r="U49" s="231"/>
      <c r="V49" s="234"/>
      <c r="W49" s="231"/>
      <c r="X49" s="231"/>
      <c r="Y49" s="231"/>
      <c r="Z49" s="234"/>
      <c r="AA49" s="234"/>
      <c r="AB49" s="231"/>
      <c r="AC49" s="231"/>
      <c r="AD49" s="235"/>
      <c r="AE49" s="234"/>
    </row>
    <row r="50" spans="1:31" x14ac:dyDescent="0.25">
      <c r="A50" s="959"/>
      <c r="B50" s="1022"/>
      <c r="C50" s="1022"/>
      <c r="D50" s="1022"/>
      <c r="E50" s="1022"/>
      <c r="F50" s="1022"/>
      <c r="G50" s="1022"/>
      <c r="H50" s="1022"/>
      <c r="I50" s="1022"/>
      <c r="J50" s="1022"/>
      <c r="K50" s="1022"/>
      <c r="L50" s="1022"/>
      <c r="S50" s="234"/>
      <c r="T50" s="234"/>
      <c r="U50" s="231"/>
      <c r="V50" s="234"/>
      <c r="W50" s="231"/>
      <c r="X50" s="231"/>
      <c r="Y50" s="231"/>
      <c r="Z50" s="234"/>
      <c r="AA50" s="234"/>
      <c r="AB50" s="231"/>
      <c r="AC50" s="231"/>
      <c r="AD50" s="235"/>
      <c r="AE50" s="234"/>
    </row>
    <row r="51" spans="1:31" x14ac:dyDescent="0.25">
      <c r="A51" s="959"/>
      <c r="B51" s="1022"/>
      <c r="C51" s="1022"/>
      <c r="D51" s="1022"/>
      <c r="E51" s="1022"/>
      <c r="F51" s="1022"/>
      <c r="G51" s="1022"/>
      <c r="H51" s="1022"/>
      <c r="I51" s="1022"/>
      <c r="J51" s="1022"/>
      <c r="K51" s="1022"/>
      <c r="L51" s="1022"/>
      <c r="S51" s="234"/>
      <c r="T51" s="234"/>
      <c r="U51" s="231"/>
      <c r="V51" s="234"/>
      <c r="W51" s="231"/>
      <c r="X51" s="231"/>
      <c r="Y51" s="231"/>
      <c r="Z51" s="234"/>
      <c r="AA51" s="234"/>
      <c r="AB51" s="231"/>
      <c r="AC51" s="231"/>
      <c r="AD51" s="235"/>
      <c r="AE51" s="234"/>
    </row>
    <row r="52" spans="1:31" x14ac:dyDescent="0.25">
      <c r="A52" s="959" t="s">
        <v>967</v>
      </c>
      <c r="B52" s="1022"/>
      <c r="C52" s="1022"/>
      <c r="D52" s="1022"/>
      <c r="E52" s="1022"/>
      <c r="F52" s="1022"/>
      <c r="G52" s="1022"/>
      <c r="H52" s="1022"/>
      <c r="I52" s="1022"/>
      <c r="J52" s="1022"/>
      <c r="K52" s="1022"/>
      <c r="L52" s="1022"/>
    </row>
    <row r="53" spans="1:31" x14ac:dyDescent="0.25">
      <c r="A53" s="959"/>
      <c r="B53" s="1022"/>
      <c r="C53" s="1022"/>
      <c r="D53" s="1022"/>
      <c r="E53" s="1022"/>
      <c r="F53" s="1022"/>
      <c r="G53" s="1022"/>
      <c r="H53" s="1022"/>
      <c r="I53" s="1022"/>
      <c r="J53" s="1022"/>
      <c r="K53" s="1022"/>
      <c r="L53" s="1022"/>
    </row>
    <row r="54" spans="1:31" x14ac:dyDescent="0.25">
      <c r="A54" s="959"/>
      <c r="B54" s="1022"/>
      <c r="C54" s="1022"/>
      <c r="D54" s="1022"/>
      <c r="E54" s="1022"/>
      <c r="F54" s="1022"/>
      <c r="G54" s="1022"/>
      <c r="H54" s="1022"/>
      <c r="I54" s="1022"/>
      <c r="J54" s="1022"/>
      <c r="K54" s="1022"/>
      <c r="L54" s="1022"/>
    </row>
    <row r="55" spans="1:31" x14ac:dyDescent="0.25">
      <c r="A55" s="959"/>
      <c r="B55" s="1022"/>
      <c r="C55" s="1022"/>
      <c r="D55" s="1022"/>
      <c r="E55" s="1022"/>
      <c r="F55" s="1022"/>
      <c r="G55" s="1022"/>
      <c r="H55" s="1022"/>
      <c r="I55" s="1022"/>
      <c r="J55" s="1022"/>
      <c r="K55" s="1022"/>
      <c r="L55" s="1022"/>
    </row>
    <row r="56" spans="1:31" x14ac:dyDescent="0.25">
      <c r="A56" s="959"/>
      <c r="B56" s="1022"/>
      <c r="C56" s="1022"/>
      <c r="D56" s="1022"/>
      <c r="E56" s="1022"/>
      <c r="F56" s="1022"/>
      <c r="G56" s="1022"/>
      <c r="H56" s="1022"/>
      <c r="I56" s="1022"/>
      <c r="J56" s="1022"/>
      <c r="K56" s="1022"/>
      <c r="L56" s="1022"/>
    </row>
    <row r="57" spans="1:31" x14ac:dyDescent="0.25">
      <c r="A57" s="959"/>
      <c r="B57" s="1022"/>
      <c r="C57" s="1022"/>
      <c r="D57" s="1022"/>
      <c r="E57" s="1022"/>
      <c r="F57" s="1022"/>
      <c r="G57" s="1022"/>
      <c r="H57" s="1022"/>
      <c r="I57" s="1022"/>
      <c r="J57" s="1022"/>
      <c r="K57" s="1022"/>
      <c r="L57" s="1022"/>
    </row>
    <row r="58" spans="1:31" x14ac:dyDescent="0.25">
      <c r="A58" s="959"/>
      <c r="B58" s="1022"/>
      <c r="C58" s="1022"/>
      <c r="D58" s="1022"/>
      <c r="E58" s="1022"/>
      <c r="F58" s="1022"/>
      <c r="G58" s="1022"/>
      <c r="H58" s="1022"/>
      <c r="I58" s="1022"/>
      <c r="J58" s="1022"/>
      <c r="K58" s="1022"/>
      <c r="L58" s="1022"/>
    </row>
    <row r="59" spans="1:31" x14ac:dyDescent="0.25">
      <c r="A59" s="959"/>
      <c r="B59" s="1022"/>
      <c r="C59" s="1022"/>
      <c r="D59" s="1022"/>
      <c r="E59" s="1022"/>
      <c r="F59" s="1022"/>
      <c r="G59" s="1022"/>
      <c r="H59" s="1022"/>
      <c r="I59" s="1022"/>
      <c r="J59" s="1022"/>
      <c r="K59" s="1022"/>
      <c r="L59" s="1022"/>
    </row>
    <row r="60" spans="1:31" x14ac:dyDescent="0.25">
      <c r="A60" s="959"/>
      <c r="B60" s="1022"/>
      <c r="C60" s="1022"/>
      <c r="D60" s="1022"/>
      <c r="E60" s="1022"/>
      <c r="F60" s="1022"/>
      <c r="G60" s="1022"/>
      <c r="H60" s="1022"/>
      <c r="I60" s="1022"/>
      <c r="J60" s="1022"/>
      <c r="K60" s="1022"/>
      <c r="L60" s="1022"/>
    </row>
    <row r="61" spans="1:31" x14ac:dyDescent="0.25">
      <c r="A61" s="959"/>
      <c r="B61" s="1022"/>
      <c r="C61" s="1022"/>
      <c r="D61" s="1022"/>
      <c r="E61" s="1022"/>
      <c r="F61" s="1022"/>
      <c r="G61" s="1022"/>
      <c r="H61" s="1022"/>
      <c r="I61" s="1022"/>
      <c r="J61" s="1022"/>
      <c r="K61" s="1022"/>
      <c r="L61" s="1022"/>
    </row>
    <row r="62" spans="1:31" x14ac:dyDescent="0.25">
      <c r="A62" s="959"/>
      <c r="B62" s="1022"/>
      <c r="C62" s="1022"/>
      <c r="D62" s="1022"/>
      <c r="E62" s="1022"/>
      <c r="F62" s="1022"/>
      <c r="G62" s="1022"/>
      <c r="H62" s="1022"/>
      <c r="I62" s="1022"/>
      <c r="J62" s="1022"/>
      <c r="K62" s="1022"/>
      <c r="L62" s="1022"/>
    </row>
    <row r="63" spans="1:31" x14ac:dyDescent="0.25">
      <c r="A63" s="959" t="s">
        <v>968</v>
      </c>
      <c r="B63" s="1022"/>
      <c r="C63" s="1022"/>
      <c r="D63" s="1022"/>
      <c r="E63" s="1022"/>
      <c r="F63" s="1022"/>
      <c r="G63" s="1022"/>
      <c r="H63" s="1022"/>
      <c r="I63" s="1022"/>
      <c r="J63" s="1022"/>
      <c r="K63" s="1022"/>
      <c r="L63" s="1022"/>
    </row>
    <row r="64" spans="1:31"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0">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M17:P17"/>
    <mergeCell ref="M18:P18"/>
    <mergeCell ref="M19:P19"/>
    <mergeCell ref="M20:P20"/>
    <mergeCell ref="M21:P21"/>
    <mergeCell ref="B9:E9"/>
    <mergeCell ref="B10:E10"/>
    <mergeCell ref="B21:E21"/>
    <mergeCell ref="B22:E22"/>
    <mergeCell ref="B23:E23"/>
    <mergeCell ref="B19:E19"/>
    <mergeCell ref="B20:E20"/>
    <mergeCell ref="B17:E17"/>
    <mergeCell ref="B18:E18"/>
    <mergeCell ref="G4:H4"/>
    <mergeCell ref="G5:H5"/>
    <mergeCell ref="B14:E14"/>
    <mergeCell ref="B15:E15"/>
    <mergeCell ref="B16:E16"/>
    <mergeCell ref="B4:E4"/>
    <mergeCell ref="B5:E5"/>
    <mergeCell ref="B6:E6"/>
    <mergeCell ref="B7:E7"/>
    <mergeCell ref="G7:H7"/>
    <mergeCell ref="B8:E8"/>
    <mergeCell ref="G6:H6"/>
    <mergeCell ref="G8:G10"/>
    <mergeCell ref="B11:E11"/>
    <mergeCell ref="B12:E12"/>
    <mergeCell ref="B13:E13"/>
    <mergeCell ref="B33:D33"/>
    <mergeCell ref="H33:I33"/>
    <mergeCell ref="B24:E24"/>
    <mergeCell ref="B25:E25"/>
    <mergeCell ref="B29:E29"/>
    <mergeCell ref="G32:I32"/>
    <mergeCell ref="B31:D31"/>
    <mergeCell ref="B32:D32"/>
    <mergeCell ref="B26:E26"/>
    <mergeCell ref="B27:E27"/>
    <mergeCell ref="B28:E28"/>
    <mergeCell ref="B42:D42"/>
    <mergeCell ref="B44:D44"/>
    <mergeCell ref="B37:D37"/>
    <mergeCell ref="B38:D38"/>
    <mergeCell ref="B39:D39"/>
    <mergeCell ref="B40:D40"/>
    <mergeCell ref="B41:D41"/>
    <mergeCell ref="G40:I40"/>
    <mergeCell ref="B34:D34"/>
    <mergeCell ref="H34:I34"/>
    <mergeCell ref="B35:D35"/>
    <mergeCell ref="H35:I35"/>
    <mergeCell ref="B36:D36"/>
    <mergeCell ref="Z10:AA10"/>
    <mergeCell ref="Z16:AA16"/>
    <mergeCell ref="Z11:AA11"/>
    <mergeCell ref="Z12:AA12"/>
    <mergeCell ref="Z13:AA13"/>
    <mergeCell ref="Z14:AA14"/>
    <mergeCell ref="Z15:AA15"/>
    <mergeCell ref="A1:E1"/>
    <mergeCell ref="B2:E2"/>
    <mergeCell ref="G2:H2"/>
    <mergeCell ref="B3:E3"/>
    <mergeCell ref="G3:H3"/>
    <mergeCell ref="Z5:AB5"/>
    <mergeCell ref="Z6:AA6"/>
    <mergeCell ref="Z8:AA8"/>
    <mergeCell ref="Z9:AA9"/>
  </mergeCells>
  <conditionalFormatting sqref="B5">
    <cfRule type="containsText" dxfId="272" priority="1" operator="containsText" text="Terminé">
      <formula>NOT(ISERROR(SEARCH("Terminé",B5)))</formula>
    </cfRule>
    <cfRule type="containsText" dxfId="271" priority="2" operator="containsText" text="En cours">
      <formula>NOT(ISERROR(SEARCH("En cours",B5)))</formula>
    </cfRule>
    <cfRule type="containsText" dxfId="27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69"/>
  <sheetViews>
    <sheetView topLeftCell="B12" zoomScaleNormal="100"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73</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37</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44"/>
      <c r="AA7" s="445"/>
      <c r="AB7" s="357"/>
    </row>
    <row r="8" spans="1:28" ht="24" customHeight="1" x14ac:dyDescent="0.25">
      <c r="A8" s="222" t="s">
        <v>1</v>
      </c>
      <c r="B8" s="967" t="s">
        <v>457</v>
      </c>
      <c r="C8" s="967"/>
      <c r="D8" s="967"/>
      <c r="E8" s="967"/>
      <c r="G8" s="997" t="s">
        <v>936</v>
      </c>
      <c r="I8" s="60" t="s">
        <v>836</v>
      </c>
      <c r="J8" s="60" t="s">
        <v>476</v>
      </c>
      <c r="Z8" s="1028" t="s">
        <v>611</v>
      </c>
      <c r="AA8" s="1029"/>
      <c r="AB8" s="357">
        <v>0.26819999999999999</v>
      </c>
    </row>
    <row r="9" spans="1:28" ht="24" customHeight="1" x14ac:dyDescent="0.25">
      <c r="A9" s="222" t="s">
        <v>0</v>
      </c>
      <c r="B9" s="967" t="s">
        <v>525</v>
      </c>
      <c r="C9" s="967"/>
      <c r="D9" s="967"/>
      <c r="E9" s="967"/>
      <c r="G9" s="997"/>
      <c r="I9" s="60">
        <v>0.8</v>
      </c>
      <c r="J9" s="60">
        <f>AB8</f>
        <v>0.26819999999999999</v>
      </c>
      <c r="Z9" s="1028" t="s">
        <v>612</v>
      </c>
      <c r="AA9" s="1029"/>
      <c r="AB9" s="357">
        <v>3.1300000000000001E-2</v>
      </c>
    </row>
    <row r="10" spans="1:28" ht="36.75" customHeight="1" x14ac:dyDescent="0.25">
      <c r="A10" s="222" t="s">
        <v>2</v>
      </c>
      <c r="B10" s="1034"/>
      <c r="C10" s="1034"/>
      <c r="D10" s="1034"/>
      <c r="E10" s="1034"/>
      <c r="G10" s="997"/>
      <c r="H10" s="7"/>
      <c r="Z10" s="1028"/>
      <c r="AA10" s="1029"/>
      <c r="AB10" s="357"/>
    </row>
    <row r="11" spans="1:28" ht="35.25" customHeight="1" x14ac:dyDescent="0.25">
      <c r="A11" s="222" t="s">
        <v>29</v>
      </c>
      <c r="B11" s="1035"/>
      <c r="C11" s="1035"/>
      <c r="D11" s="1035"/>
      <c r="E11" s="1035"/>
      <c r="G11" s="225">
        <f>SUM(J17:J30)</f>
        <v>20316.25</v>
      </c>
      <c r="H11" s="131" t="s">
        <v>833</v>
      </c>
      <c r="Z11" s="1028" t="s">
        <v>613</v>
      </c>
      <c r="AA11" s="1029"/>
      <c r="AB11" s="357">
        <v>0.26819999999999999</v>
      </c>
    </row>
    <row r="12" spans="1:28" ht="30" customHeight="1" x14ac:dyDescent="0.25">
      <c r="A12" s="222" t="s">
        <v>14</v>
      </c>
      <c r="B12" s="1010" t="s">
        <v>939</v>
      </c>
      <c r="C12" s="1010"/>
      <c r="D12" s="1010"/>
      <c r="E12" s="1010"/>
      <c r="G12" s="431">
        <f>SUM(K17:K30)</f>
        <v>632557.66999999993</v>
      </c>
      <c r="H12" s="185" t="s">
        <v>522</v>
      </c>
      <c r="Z12" s="1028" t="s">
        <v>614</v>
      </c>
      <c r="AA12" s="1029"/>
      <c r="AB12" s="357">
        <v>1.18E-2</v>
      </c>
    </row>
    <row r="13" spans="1:28" ht="30" customHeight="1" x14ac:dyDescent="0.25">
      <c r="A13" s="222" t="s">
        <v>3</v>
      </c>
      <c r="B13" s="1011" t="s">
        <v>943</v>
      </c>
      <c r="C13" s="1011"/>
      <c r="D13" s="1011"/>
      <c r="E13" s="1011"/>
      <c r="G13" s="431">
        <f>SUM(L17:L30)</f>
        <v>476548.5</v>
      </c>
      <c r="H13" s="431" t="s">
        <v>523</v>
      </c>
      <c r="Z13" s="1028" t="s">
        <v>615</v>
      </c>
      <c r="AA13" s="1029"/>
      <c r="AB13" s="358">
        <f>AB15/0.55</f>
        <v>0.50363636363636366</v>
      </c>
    </row>
    <row r="14" spans="1:28" ht="30" customHeight="1" thickBot="1" x14ac:dyDescent="0.3">
      <c r="A14" s="222" t="s">
        <v>15</v>
      </c>
      <c r="B14" s="1010"/>
      <c r="C14" s="1010"/>
      <c r="D14" s="1010"/>
      <c r="E14" s="1010"/>
      <c r="Z14" s="1028" t="s">
        <v>616</v>
      </c>
      <c r="AA14" s="1029"/>
      <c r="AB14" s="357">
        <v>0.26819999999999999</v>
      </c>
    </row>
    <row r="15" spans="1:28" ht="30" customHeight="1" thickTop="1" x14ac:dyDescent="0.25">
      <c r="A15" s="222" t="s">
        <v>4</v>
      </c>
      <c r="B15" s="1010">
        <v>2007</v>
      </c>
      <c r="C15" s="1010"/>
      <c r="D15" s="1010"/>
      <c r="E15" s="1010"/>
      <c r="G15" s="434" t="s">
        <v>936</v>
      </c>
      <c r="H15" s="435"/>
      <c r="I15" s="435"/>
      <c r="J15" s="435"/>
      <c r="K15" s="435"/>
      <c r="L15" s="436"/>
      <c r="Z15" s="1028" t="s">
        <v>578</v>
      </c>
      <c r="AA15" s="1029"/>
      <c r="AB15" s="357">
        <v>0.27700000000000002</v>
      </c>
    </row>
    <row r="16" spans="1:28" ht="30" customHeight="1" x14ac:dyDescent="0.25">
      <c r="A16" s="222" t="s">
        <v>5</v>
      </c>
      <c r="B16" s="1010">
        <v>2017</v>
      </c>
      <c r="C16" s="1010"/>
      <c r="D16" s="1010"/>
      <c r="E16" s="1010"/>
      <c r="G16" s="246" t="s">
        <v>517</v>
      </c>
      <c r="H16" s="247" t="s">
        <v>834</v>
      </c>
      <c r="I16" s="247" t="s">
        <v>835</v>
      </c>
      <c r="J16" s="249" t="s">
        <v>524</v>
      </c>
      <c r="K16" s="247" t="s">
        <v>520</v>
      </c>
      <c r="L16" s="248" t="s">
        <v>200</v>
      </c>
      <c r="Z16" s="1028" t="s">
        <v>579</v>
      </c>
      <c r="AA16" s="1029"/>
      <c r="AB16" s="357">
        <v>0.20269999999999999</v>
      </c>
    </row>
    <row r="17" spans="1:38" ht="30" customHeight="1" x14ac:dyDescent="0.25">
      <c r="A17" s="222" t="s">
        <v>6</v>
      </c>
      <c r="B17" s="1000">
        <f>G12</f>
        <v>632557.66999999993</v>
      </c>
      <c r="C17" s="1000"/>
      <c r="D17" s="1000"/>
      <c r="E17" s="1000"/>
      <c r="G17" s="246" t="s">
        <v>1081</v>
      </c>
      <c r="H17" s="530">
        <v>9869</v>
      </c>
      <c r="I17" s="78">
        <f>H17-H17*0.15</f>
        <v>8388.65</v>
      </c>
      <c r="J17" s="525">
        <f>+H17-I17</f>
        <v>1480.3500000000004</v>
      </c>
      <c r="K17" s="78">
        <v>131830.70000000001</v>
      </c>
      <c r="L17" s="531">
        <v>110481.3</v>
      </c>
      <c r="M17" s="1035" t="s">
        <v>1278</v>
      </c>
      <c r="N17" s="1035"/>
      <c r="O17" s="1035"/>
      <c r="P17" s="1035"/>
    </row>
    <row r="18" spans="1:38" ht="30" customHeight="1" x14ac:dyDescent="0.25">
      <c r="A18" s="222" t="s">
        <v>7</v>
      </c>
      <c r="B18" s="1000">
        <f>G13</f>
        <v>476548.5</v>
      </c>
      <c r="C18" s="1000"/>
      <c r="D18" s="1000"/>
      <c r="E18" s="1000"/>
      <c r="G18" s="246" t="s">
        <v>1277</v>
      </c>
      <c r="H18" s="530">
        <v>21565</v>
      </c>
      <c r="I18" s="78">
        <f>H18-H18*0.3</f>
        <v>15095.5</v>
      </c>
      <c r="J18" s="525">
        <f t="shared" ref="J18:J28" si="0">+H18-I18</f>
        <v>6469.5</v>
      </c>
      <c r="K18" s="78">
        <v>349120</v>
      </c>
      <c r="L18" s="531">
        <v>104736</v>
      </c>
      <c r="M18" s="1035" t="s">
        <v>1229</v>
      </c>
      <c r="N18" s="1035"/>
      <c r="O18" s="1035"/>
      <c r="P18" s="1035"/>
      <c r="R18" s="636" t="s">
        <v>1144</v>
      </c>
      <c r="S18" s="637"/>
      <c r="T18" s="637"/>
      <c r="U18" s="637"/>
      <c r="V18" s="637"/>
      <c r="W18" s="638"/>
      <c r="X18" s="637"/>
      <c r="Y18" s="637"/>
      <c r="Z18" s="637"/>
      <c r="AA18" s="639"/>
      <c r="AB18" s="639"/>
      <c r="AC18" s="639"/>
      <c r="AD18" s="639"/>
      <c r="AE18" s="640"/>
      <c r="AF18" s="639"/>
      <c r="AG18" s="641"/>
      <c r="AH18" s="637"/>
      <c r="AI18" s="637"/>
      <c r="AJ18" s="637"/>
      <c r="AK18" s="637"/>
      <c r="AL18" s="637"/>
    </row>
    <row r="19" spans="1:38" ht="30" customHeight="1" x14ac:dyDescent="0.25">
      <c r="A19" s="99" t="s">
        <v>307</v>
      </c>
      <c r="B19" s="1039">
        <f>G11*10</f>
        <v>203162.5</v>
      </c>
      <c r="C19" s="1040"/>
      <c r="D19" s="1040"/>
      <c r="E19" s="1040"/>
      <c r="F19" s="33"/>
      <c r="G19" s="532" t="s">
        <v>1181</v>
      </c>
      <c r="H19" s="530">
        <v>8000</v>
      </c>
      <c r="I19" s="78">
        <f>H19-H19*0.8</f>
        <v>1600</v>
      </c>
      <c r="J19" s="525">
        <f t="shared" si="0"/>
        <v>6400</v>
      </c>
      <c r="K19" s="78">
        <v>3834.97</v>
      </c>
      <c r="L19" s="531">
        <v>209611</v>
      </c>
      <c r="M19" s="1035"/>
      <c r="N19" s="1035"/>
      <c r="O19" s="1035"/>
      <c r="P19" s="1035"/>
      <c r="R19" s="642" t="s">
        <v>1145</v>
      </c>
      <c r="S19" s="643"/>
      <c r="T19" s="643"/>
      <c r="U19" s="643"/>
      <c r="V19" s="643"/>
      <c r="W19" s="644"/>
      <c r="X19" s="643"/>
      <c r="Y19" s="643"/>
      <c r="Z19" s="643"/>
      <c r="AA19" s="645"/>
      <c r="AB19" s="645"/>
      <c r="AC19" s="645"/>
      <c r="AD19" s="645"/>
      <c r="AE19" s="646"/>
      <c r="AF19" s="645"/>
      <c r="AG19" s="647"/>
      <c r="AH19" s="648"/>
      <c r="AI19" s="648" t="s">
        <v>1146</v>
      </c>
      <c r="AJ19" s="648" t="s">
        <v>1146</v>
      </c>
      <c r="AK19" s="648" t="s">
        <v>1146</v>
      </c>
      <c r="AL19" s="648" t="s">
        <v>1147</v>
      </c>
    </row>
    <row r="20" spans="1:38" ht="30" customHeight="1" x14ac:dyDescent="0.25">
      <c r="A20" s="96" t="s">
        <v>306</v>
      </c>
      <c r="B20" s="1041"/>
      <c r="C20" s="1042"/>
      <c r="D20" s="1042"/>
      <c r="E20" s="1042"/>
      <c r="G20" s="532" t="s">
        <v>1236</v>
      </c>
      <c r="H20" s="530">
        <v>7458</v>
      </c>
      <c r="I20" s="78">
        <f>H20-H20*0.8</f>
        <v>1491.5999999999995</v>
      </c>
      <c r="J20" s="525">
        <f t="shared" si="0"/>
        <v>5966.4000000000005</v>
      </c>
      <c r="K20" s="78">
        <v>147772</v>
      </c>
      <c r="L20" s="531">
        <v>51720.2</v>
      </c>
      <c r="M20" s="1035"/>
      <c r="N20" s="1035"/>
      <c r="O20" s="1035"/>
      <c r="P20" s="1035"/>
      <c r="R20" s="643"/>
      <c r="S20" s="643"/>
      <c r="T20" s="643"/>
      <c r="U20" s="643"/>
      <c r="V20" s="643"/>
      <c r="W20" s="644"/>
      <c r="X20" s="643"/>
      <c r="Y20" s="643"/>
      <c r="Z20" s="643"/>
      <c r="AA20" s="645"/>
      <c r="AB20" s="645"/>
      <c r="AC20" s="645"/>
      <c r="AD20" s="645"/>
      <c r="AE20" s="646"/>
      <c r="AF20" s="645"/>
      <c r="AG20" s="647"/>
      <c r="AH20" s="648" t="s">
        <v>1148</v>
      </c>
      <c r="AI20" s="648" t="s">
        <v>1149</v>
      </c>
      <c r="AJ20" s="648" t="s">
        <v>1150</v>
      </c>
      <c r="AK20" s="648"/>
      <c r="AL20" s="648"/>
    </row>
    <row r="21" spans="1:38" ht="30" customHeight="1" x14ac:dyDescent="0.25">
      <c r="A21" s="222" t="s">
        <v>8</v>
      </c>
      <c r="B21" s="1000">
        <f>B19*I9/10</f>
        <v>16253</v>
      </c>
      <c r="C21" s="1000"/>
      <c r="D21" s="1000"/>
      <c r="E21" s="1000"/>
      <c r="G21" s="246"/>
      <c r="H21" s="530"/>
      <c r="I21" s="78"/>
      <c r="J21" s="525">
        <f t="shared" si="0"/>
        <v>0</v>
      </c>
      <c r="K21" s="78"/>
      <c r="L21" s="531"/>
      <c r="M21" s="1035"/>
      <c r="N21" s="1035"/>
      <c r="O21" s="1035"/>
      <c r="P21" s="1035"/>
      <c r="R21" s="649" t="s">
        <v>1151</v>
      </c>
      <c r="S21" s="649" t="s">
        <v>1152</v>
      </c>
      <c r="T21" s="649" t="s">
        <v>1153</v>
      </c>
      <c r="U21" s="649" t="s">
        <v>1154</v>
      </c>
      <c r="V21" s="649" t="s">
        <v>1155</v>
      </c>
      <c r="W21" s="649" t="s">
        <v>1156</v>
      </c>
      <c r="X21" s="650" t="s">
        <v>1157</v>
      </c>
      <c r="Y21" s="650" t="s">
        <v>1158</v>
      </c>
      <c r="Z21" s="650" t="s">
        <v>1159</v>
      </c>
      <c r="AA21" s="651" t="s">
        <v>1160</v>
      </c>
      <c r="AB21" s="651" t="s">
        <v>1161</v>
      </c>
      <c r="AC21" s="651" t="s">
        <v>1162</v>
      </c>
      <c r="AD21" s="651" t="s">
        <v>1163</v>
      </c>
      <c r="AE21" s="652" t="s">
        <v>1164</v>
      </c>
      <c r="AF21" s="651" t="s">
        <v>1165</v>
      </c>
      <c r="AG21" s="653" t="s">
        <v>1166</v>
      </c>
      <c r="AH21" s="649" t="s">
        <v>1167</v>
      </c>
      <c r="AI21" s="649" t="s">
        <v>1168</v>
      </c>
      <c r="AJ21" s="654">
        <v>42923</v>
      </c>
      <c r="AK21" s="654">
        <v>43158</v>
      </c>
      <c r="AL21" s="649"/>
    </row>
    <row r="22" spans="1:38" ht="30" customHeight="1" x14ac:dyDescent="0.25">
      <c r="A22" s="222" t="s">
        <v>9</v>
      </c>
      <c r="B22" s="1000">
        <f>B20/1000*L11*4</f>
        <v>0</v>
      </c>
      <c r="C22" s="1000"/>
      <c r="D22" s="1000"/>
      <c r="E22" s="1000"/>
      <c r="G22" s="246"/>
      <c r="H22" s="530"/>
      <c r="I22" s="78"/>
      <c r="J22" s="525">
        <f t="shared" si="0"/>
        <v>0</v>
      </c>
      <c r="K22" s="78"/>
      <c r="L22" s="531"/>
      <c r="M22" s="1035"/>
      <c r="N22" s="1035"/>
      <c r="O22" s="1035"/>
      <c r="P22" s="1035"/>
      <c r="R22" s="655" t="s">
        <v>1169</v>
      </c>
      <c r="S22" s="655" t="s">
        <v>1170</v>
      </c>
      <c r="T22" s="655" t="s">
        <v>1171</v>
      </c>
      <c r="U22" s="655">
        <v>6780</v>
      </c>
      <c r="V22" s="655" t="s">
        <v>1172</v>
      </c>
      <c r="W22" s="656" t="s">
        <v>1173</v>
      </c>
      <c r="X22" s="657" t="s">
        <v>10</v>
      </c>
      <c r="Y22" s="657" t="s">
        <v>10</v>
      </c>
      <c r="Z22" s="658">
        <v>41205</v>
      </c>
      <c r="AA22" s="659">
        <v>2420</v>
      </c>
      <c r="AB22" s="659">
        <f>AA22*0.55</f>
        <v>1331</v>
      </c>
      <c r="AC22" s="659">
        <v>2420</v>
      </c>
      <c r="AD22" s="659">
        <v>1331</v>
      </c>
      <c r="AE22" s="660">
        <f>AB22/AA22</f>
        <v>0.55000000000000004</v>
      </c>
      <c r="AF22" s="661" t="s">
        <v>1174</v>
      </c>
      <c r="AG22" s="662"/>
      <c r="AH22" s="663">
        <v>41858</v>
      </c>
      <c r="AI22" s="655" t="s">
        <v>1175</v>
      </c>
      <c r="AJ22" s="655"/>
      <c r="AK22" s="655"/>
      <c r="AL22" s="655"/>
    </row>
    <row r="23" spans="1:38" ht="30" customHeight="1" x14ac:dyDescent="0.25">
      <c r="A23" s="222" t="s">
        <v>301</v>
      </c>
      <c r="B23" s="1016">
        <f>B17/(B21+B22)</f>
        <v>38.919440718636558</v>
      </c>
      <c r="C23" s="1016"/>
      <c r="D23" s="1016"/>
      <c r="E23" s="1016"/>
      <c r="G23" s="246"/>
      <c r="H23" s="530"/>
      <c r="I23" s="78"/>
      <c r="J23" s="525">
        <f t="shared" si="0"/>
        <v>0</v>
      </c>
      <c r="K23" s="78"/>
      <c r="L23" s="531"/>
      <c r="M23" s="1035"/>
      <c r="N23" s="1035"/>
      <c r="O23" s="1035"/>
      <c r="P23" s="1035"/>
      <c r="R23" s="664" t="s">
        <v>1176</v>
      </c>
      <c r="S23" s="664" t="s">
        <v>1177</v>
      </c>
      <c r="T23" s="664" t="s">
        <v>1178</v>
      </c>
      <c r="U23" s="664">
        <v>6780</v>
      </c>
      <c r="V23" s="664" t="s">
        <v>1172</v>
      </c>
      <c r="W23" s="665" t="s">
        <v>1173</v>
      </c>
      <c r="X23" s="666" t="s">
        <v>10</v>
      </c>
      <c r="Y23" s="666" t="s">
        <v>10</v>
      </c>
      <c r="Z23" s="667">
        <v>42968</v>
      </c>
      <c r="AA23" s="662">
        <v>2420</v>
      </c>
      <c r="AB23" s="662">
        <f t="shared" ref="AB23:AB35" si="1">AA23*0.55</f>
        <v>1331</v>
      </c>
      <c r="AC23" s="662">
        <v>2420</v>
      </c>
      <c r="AD23" s="662">
        <v>1331</v>
      </c>
      <c r="AE23" s="668">
        <f t="shared" ref="AE23:AE35" si="2">AB23/AA23</f>
        <v>0.55000000000000004</v>
      </c>
      <c r="AF23" s="669">
        <v>42902</v>
      </c>
      <c r="AG23" s="670" t="s">
        <v>1179</v>
      </c>
      <c r="AH23" s="671">
        <v>43354</v>
      </c>
      <c r="AI23" s="664" t="s">
        <v>1175</v>
      </c>
      <c r="AJ23" s="664"/>
      <c r="AK23" s="664"/>
      <c r="AL23" s="664"/>
    </row>
    <row r="24" spans="1:38" ht="30" customHeight="1" x14ac:dyDescent="0.25">
      <c r="A24" s="222" t="s">
        <v>302</v>
      </c>
      <c r="B24" s="1017">
        <f>(B17-B18)/(B21+B22)</f>
        <v>9.5987922229742164</v>
      </c>
      <c r="C24" s="1017"/>
      <c r="D24" s="1017"/>
      <c r="E24" s="1017"/>
      <c r="G24" s="246"/>
      <c r="H24" s="530"/>
      <c r="I24" s="78"/>
      <c r="J24" s="525">
        <f t="shared" si="0"/>
        <v>0</v>
      </c>
      <c r="K24" s="78"/>
      <c r="L24" s="531"/>
      <c r="M24" s="1035"/>
      <c r="N24" s="1035"/>
      <c r="O24" s="1035"/>
      <c r="P24" s="1035"/>
      <c r="R24" s="664" t="s">
        <v>1180</v>
      </c>
      <c r="S24" s="664" t="s">
        <v>1181</v>
      </c>
      <c r="T24" s="664" t="s">
        <v>1182</v>
      </c>
      <c r="U24" s="664">
        <v>6780</v>
      </c>
      <c r="V24" s="664" t="s">
        <v>1172</v>
      </c>
      <c r="W24" s="665" t="s">
        <v>1173</v>
      </c>
      <c r="X24" s="666" t="s">
        <v>10</v>
      </c>
      <c r="Y24" s="666" t="s">
        <v>10</v>
      </c>
      <c r="Z24" s="667">
        <v>42968</v>
      </c>
      <c r="AA24" s="662">
        <v>3630</v>
      </c>
      <c r="AB24" s="662">
        <f t="shared" si="1"/>
        <v>1996.5000000000002</v>
      </c>
      <c r="AC24" s="662">
        <v>3630</v>
      </c>
      <c r="AD24" s="662">
        <v>1996.5</v>
      </c>
      <c r="AE24" s="668">
        <f t="shared" si="2"/>
        <v>0.55000000000000004</v>
      </c>
      <c r="AF24" s="669">
        <v>42902</v>
      </c>
      <c r="AG24" s="670" t="s">
        <v>1179</v>
      </c>
      <c r="AH24" s="671">
        <v>43354</v>
      </c>
      <c r="AI24" s="664" t="s">
        <v>1175</v>
      </c>
      <c r="AJ24" s="664"/>
      <c r="AK24" s="664"/>
      <c r="AL24" s="664"/>
    </row>
    <row r="25" spans="1:38" ht="30" customHeight="1" x14ac:dyDescent="0.25">
      <c r="A25" s="100" t="s">
        <v>305</v>
      </c>
      <c r="B25" s="1070">
        <f>B19/1000*J9</f>
        <v>54.488182500000001</v>
      </c>
      <c r="C25" s="1070"/>
      <c r="D25" s="1070"/>
      <c r="E25" s="1070"/>
      <c r="G25" s="246"/>
      <c r="H25" s="530"/>
      <c r="I25" s="78"/>
      <c r="J25" s="525">
        <f t="shared" si="0"/>
        <v>0</v>
      </c>
      <c r="K25" s="78"/>
      <c r="L25" s="531"/>
      <c r="M25" s="1035"/>
      <c r="N25" s="1035"/>
      <c r="O25" s="1035"/>
      <c r="P25" s="1035"/>
      <c r="R25" s="655" t="s">
        <v>1183</v>
      </c>
      <c r="S25" s="655" t="s">
        <v>1184</v>
      </c>
      <c r="T25" s="655" t="s">
        <v>1178</v>
      </c>
      <c r="U25" s="655">
        <v>6780</v>
      </c>
      <c r="V25" s="655" t="s">
        <v>1172</v>
      </c>
      <c r="W25" s="656" t="s">
        <v>1173</v>
      </c>
      <c r="X25" s="657" t="s">
        <v>10</v>
      </c>
      <c r="Y25" s="657" t="s">
        <v>10</v>
      </c>
      <c r="Z25" s="658">
        <v>43061</v>
      </c>
      <c r="AA25" s="659">
        <v>2057</v>
      </c>
      <c r="AB25" s="659">
        <f t="shared" si="1"/>
        <v>1131.3500000000001</v>
      </c>
      <c r="AC25" s="659">
        <v>2057</v>
      </c>
      <c r="AD25" s="659">
        <v>1131.3500000000001</v>
      </c>
      <c r="AE25" s="660">
        <f t="shared" si="2"/>
        <v>0.55000000000000004</v>
      </c>
      <c r="AF25" s="672">
        <v>42979</v>
      </c>
      <c r="AG25" s="670" t="s">
        <v>1185</v>
      </c>
      <c r="AH25" s="663">
        <v>43486</v>
      </c>
      <c r="AI25" s="655" t="s">
        <v>1175</v>
      </c>
      <c r="AJ25" s="655"/>
      <c r="AK25" s="655"/>
      <c r="AL25" s="655"/>
    </row>
    <row r="26" spans="1:38" ht="30" customHeight="1" x14ac:dyDescent="0.25">
      <c r="A26" s="101" t="s">
        <v>303</v>
      </c>
      <c r="B26" s="1071">
        <f>B25/'Objectifs CO2'!C6</f>
        <v>5.0261866955227601E-2</v>
      </c>
      <c r="C26" s="1071"/>
      <c r="D26" s="1071"/>
      <c r="E26" s="1071"/>
      <c r="G26" s="246"/>
      <c r="H26" s="530"/>
      <c r="I26" s="78"/>
      <c r="J26" s="525">
        <f t="shared" si="0"/>
        <v>0</v>
      </c>
      <c r="K26" s="78"/>
      <c r="L26" s="531"/>
      <c r="M26" s="1035"/>
      <c r="N26" s="1035"/>
      <c r="O26" s="1035"/>
      <c r="P26" s="1035"/>
      <c r="R26" s="655" t="s">
        <v>1186</v>
      </c>
      <c r="S26" s="655" t="s">
        <v>1187</v>
      </c>
      <c r="T26" s="655" t="s">
        <v>1188</v>
      </c>
      <c r="U26" s="655">
        <v>6780</v>
      </c>
      <c r="V26" s="655" t="s">
        <v>1172</v>
      </c>
      <c r="W26" s="656" t="s">
        <v>1173</v>
      </c>
      <c r="X26" s="657" t="s">
        <v>10</v>
      </c>
      <c r="Y26" s="657" t="s">
        <v>10</v>
      </c>
      <c r="Z26" s="658">
        <v>43061</v>
      </c>
      <c r="AA26" s="659">
        <v>1815</v>
      </c>
      <c r="AB26" s="659">
        <f t="shared" si="1"/>
        <v>998.25000000000011</v>
      </c>
      <c r="AC26" s="659">
        <v>1815</v>
      </c>
      <c r="AD26" s="659">
        <v>998.25000000000011</v>
      </c>
      <c r="AE26" s="660">
        <f t="shared" si="2"/>
        <v>0.55000000000000004</v>
      </c>
      <c r="AF26" s="672">
        <v>42999</v>
      </c>
      <c r="AG26" s="670" t="s">
        <v>1185</v>
      </c>
      <c r="AH26" s="663">
        <v>43486</v>
      </c>
      <c r="AI26" s="655" t="s">
        <v>1175</v>
      </c>
      <c r="AJ26" s="655"/>
      <c r="AK26" s="655"/>
      <c r="AL26" s="655"/>
    </row>
    <row r="27" spans="1:38" ht="30" customHeight="1" x14ac:dyDescent="0.25">
      <c r="A27" s="101" t="s">
        <v>304</v>
      </c>
      <c r="B27" s="1056">
        <f>B25/'Objectifs CO2'!C4</f>
        <v>2.5130933477613801E-3</v>
      </c>
      <c r="C27" s="1057"/>
      <c r="D27" s="1057"/>
      <c r="E27" s="1057"/>
      <c r="G27" s="533"/>
      <c r="H27" s="530"/>
      <c r="I27" s="78"/>
      <c r="J27" s="525">
        <f t="shared" si="0"/>
        <v>0</v>
      </c>
      <c r="K27" s="78"/>
      <c r="L27" s="531"/>
      <c r="M27" s="1035"/>
      <c r="N27" s="1035"/>
      <c r="O27" s="1035"/>
      <c r="P27" s="1035"/>
      <c r="R27" s="655" t="s">
        <v>1189</v>
      </c>
      <c r="S27" s="655" t="s">
        <v>1190</v>
      </c>
      <c r="T27" s="655" t="s">
        <v>1191</v>
      </c>
      <c r="U27" s="655">
        <v>6780</v>
      </c>
      <c r="V27" s="655" t="s">
        <v>1172</v>
      </c>
      <c r="W27" s="656" t="s">
        <v>1173</v>
      </c>
      <c r="X27" s="657" t="s">
        <v>10</v>
      </c>
      <c r="Y27" s="657" t="s">
        <v>10</v>
      </c>
      <c r="Z27" s="658">
        <v>43061</v>
      </c>
      <c r="AA27" s="659">
        <v>1210</v>
      </c>
      <c r="AB27" s="659">
        <f t="shared" si="1"/>
        <v>665.5</v>
      </c>
      <c r="AC27" s="659">
        <v>1210</v>
      </c>
      <c r="AD27" s="659">
        <v>665.5</v>
      </c>
      <c r="AE27" s="660">
        <f t="shared" si="2"/>
        <v>0.55000000000000004</v>
      </c>
      <c r="AF27" s="672">
        <v>42979</v>
      </c>
      <c r="AG27" s="670" t="s">
        <v>1185</v>
      </c>
      <c r="AH27" s="663">
        <v>43486</v>
      </c>
      <c r="AI27" s="655" t="s">
        <v>1175</v>
      </c>
      <c r="AJ27" s="655"/>
      <c r="AK27" s="655"/>
      <c r="AL27" s="655"/>
    </row>
    <row r="28" spans="1:38" ht="30" customHeight="1" x14ac:dyDescent="0.25">
      <c r="A28" s="101" t="s">
        <v>22</v>
      </c>
      <c r="B28" s="999" t="s">
        <v>10</v>
      </c>
      <c r="C28" s="999"/>
      <c r="D28" s="999"/>
      <c r="E28" s="999"/>
      <c r="G28" s="534"/>
      <c r="H28" s="78"/>
      <c r="I28" s="78"/>
      <c r="J28" s="525">
        <f t="shared" si="0"/>
        <v>0</v>
      </c>
      <c r="K28" s="78"/>
      <c r="L28" s="531"/>
      <c r="M28" s="1035"/>
      <c r="N28" s="1035"/>
      <c r="O28" s="1035"/>
      <c r="P28" s="1035"/>
      <c r="R28" s="655" t="s">
        <v>1192</v>
      </c>
      <c r="S28" s="655" t="s">
        <v>1193</v>
      </c>
      <c r="T28" s="655" t="s">
        <v>1194</v>
      </c>
      <c r="U28" s="655">
        <v>6780</v>
      </c>
      <c r="V28" s="655" t="s">
        <v>1195</v>
      </c>
      <c r="W28" s="656" t="s">
        <v>1173</v>
      </c>
      <c r="X28" s="657" t="s">
        <v>10</v>
      </c>
      <c r="Y28" s="657" t="s">
        <v>10</v>
      </c>
      <c r="Z28" s="658">
        <v>43061</v>
      </c>
      <c r="AA28" s="659">
        <v>1694</v>
      </c>
      <c r="AB28" s="659">
        <f t="shared" si="1"/>
        <v>931.7</v>
      </c>
      <c r="AC28" s="659">
        <v>1694</v>
      </c>
      <c r="AD28" s="659">
        <v>931.7</v>
      </c>
      <c r="AE28" s="660">
        <f t="shared" si="2"/>
        <v>0.55000000000000004</v>
      </c>
      <c r="AF28" s="672">
        <v>42979</v>
      </c>
      <c r="AG28" s="670" t="s">
        <v>1185</v>
      </c>
      <c r="AH28" s="663">
        <v>43486</v>
      </c>
      <c r="AI28" s="655" t="s">
        <v>1175</v>
      </c>
      <c r="AJ28" s="655"/>
      <c r="AK28" s="655"/>
      <c r="AL28" s="655"/>
    </row>
    <row r="29" spans="1:38" ht="30" customHeight="1" x14ac:dyDescent="0.25">
      <c r="A29" s="101" t="s">
        <v>257</v>
      </c>
      <c r="B29" s="999"/>
      <c r="C29" s="999"/>
      <c r="D29" s="999"/>
      <c r="E29" s="999"/>
      <c r="G29" s="534"/>
      <c r="H29" s="78"/>
      <c r="I29" s="78"/>
      <c r="J29" s="525"/>
      <c r="K29" s="78"/>
      <c r="L29" s="531"/>
      <c r="R29" s="655" t="s">
        <v>1196</v>
      </c>
      <c r="S29" s="655" t="s">
        <v>1197</v>
      </c>
      <c r="T29" s="655" t="s">
        <v>1198</v>
      </c>
      <c r="U29" s="655">
        <v>6780</v>
      </c>
      <c r="V29" s="655" t="s">
        <v>1195</v>
      </c>
      <c r="W29" s="656" t="s">
        <v>1173</v>
      </c>
      <c r="X29" s="657" t="s">
        <v>10</v>
      </c>
      <c r="Y29" s="657" t="s">
        <v>10</v>
      </c>
      <c r="Z29" s="658">
        <v>43082</v>
      </c>
      <c r="AA29" s="659">
        <v>2904</v>
      </c>
      <c r="AB29" s="659">
        <f t="shared" si="1"/>
        <v>1597.2</v>
      </c>
      <c r="AC29" s="659">
        <v>2904</v>
      </c>
      <c r="AD29" s="659">
        <v>1597.2</v>
      </c>
      <c r="AE29" s="660">
        <f t="shared" si="2"/>
        <v>0.55000000000000004</v>
      </c>
      <c r="AF29" s="672">
        <v>42992</v>
      </c>
      <c r="AG29" s="670" t="s">
        <v>1185</v>
      </c>
      <c r="AH29" s="663">
        <v>43486</v>
      </c>
      <c r="AI29" s="655" t="s">
        <v>1175</v>
      </c>
      <c r="AJ29" s="655"/>
      <c r="AK29" s="655"/>
      <c r="AL29" s="655"/>
    </row>
    <row r="30" spans="1:38" ht="45.75" thickBot="1" x14ac:dyDescent="0.3">
      <c r="G30" s="535"/>
      <c r="H30" s="536"/>
      <c r="I30" s="536"/>
      <c r="J30" s="537"/>
      <c r="K30" s="536"/>
      <c r="L30" s="538"/>
      <c r="R30" s="655" t="s">
        <v>1199</v>
      </c>
      <c r="S30" s="655" t="s">
        <v>1080</v>
      </c>
      <c r="T30" s="655" t="s">
        <v>1200</v>
      </c>
      <c r="U30" s="655">
        <v>6780</v>
      </c>
      <c r="V30" s="655" t="s">
        <v>389</v>
      </c>
      <c r="W30" s="656" t="s">
        <v>1173</v>
      </c>
      <c r="X30" s="657" t="s">
        <v>10</v>
      </c>
      <c r="Y30" s="657" t="s">
        <v>10</v>
      </c>
      <c r="Z30" s="658">
        <v>43082</v>
      </c>
      <c r="AA30" s="659">
        <v>2662</v>
      </c>
      <c r="AB30" s="659">
        <f t="shared" si="1"/>
        <v>1464.1000000000001</v>
      </c>
      <c r="AC30" s="659">
        <v>2662</v>
      </c>
      <c r="AD30" s="659">
        <v>1464.1000000000001</v>
      </c>
      <c r="AE30" s="660">
        <f t="shared" si="2"/>
        <v>0.55000000000000004</v>
      </c>
      <c r="AF30" s="672">
        <v>42992</v>
      </c>
      <c r="AG30" s="670" t="s">
        <v>1185</v>
      </c>
      <c r="AH30" s="663">
        <v>43486</v>
      </c>
      <c r="AI30" s="655" t="s">
        <v>1175</v>
      </c>
      <c r="AJ30" s="655"/>
      <c r="AK30" s="655"/>
      <c r="AL30" s="655"/>
    </row>
    <row r="31" spans="1:38" ht="45.75" thickTop="1" x14ac:dyDescent="0.25">
      <c r="A31" s="603" t="s">
        <v>1065</v>
      </c>
      <c r="B31" s="1003" t="s">
        <v>675</v>
      </c>
      <c r="C31" s="1003"/>
      <c r="D31" s="1003"/>
      <c r="E31" s="56" t="s">
        <v>676</v>
      </c>
      <c r="J31" s="231"/>
      <c r="K31" s="231"/>
      <c r="L31" s="231"/>
      <c r="R31" s="655" t="s">
        <v>1201</v>
      </c>
      <c r="S31" s="655" t="s">
        <v>1082</v>
      </c>
      <c r="T31" s="655" t="s">
        <v>1202</v>
      </c>
      <c r="U31" s="655">
        <v>6780</v>
      </c>
      <c r="V31" s="655" t="s">
        <v>1203</v>
      </c>
      <c r="W31" s="656" t="s">
        <v>1173</v>
      </c>
      <c r="X31" s="657" t="s">
        <v>10</v>
      </c>
      <c r="Y31" s="657" t="s">
        <v>10</v>
      </c>
      <c r="Z31" s="658">
        <v>43082</v>
      </c>
      <c r="AA31" s="659">
        <v>2662</v>
      </c>
      <c r="AB31" s="659">
        <f t="shared" si="1"/>
        <v>1464.1000000000001</v>
      </c>
      <c r="AC31" s="659">
        <v>2662</v>
      </c>
      <c r="AD31" s="659">
        <v>1464.1000000000001</v>
      </c>
      <c r="AE31" s="660">
        <f t="shared" si="2"/>
        <v>0.55000000000000004</v>
      </c>
      <c r="AF31" s="672">
        <v>42992</v>
      </c>
      <c r="AG31" s="670" t="s">
        <v>1185</v>
      </c>
      <c r="AH31" s="663">
        <v>43486</v>
      </c>
      <c r="AI31" s="655" t="s">
        <v>1175</v>
      </c>
      <c r="AJ31" s="655"/>
      <c r="AK31" s="655"/>
      <c r="AL31" s="655"/>
    </row>
    <row r="32" spans="1:38" ht="45" x14ac:dyDescent="0.25">
      <c r="A32" s="377"/>
      <c r="B32" s="992" t="s">
        <v>677</v>
      </c>
      <c r="C32" s="992"/>
      <c r="D32" s="992"/>
      <c r="E32" s="374"/>
      <c r="G32" s="1004" t="s">
        <v>676</v>
      </c>
      <c r="H32" s="1004"/>
      <c r="I32" s="1004"/>
      <c r="J32" s="231"/>
      <c r="K32" s="231"/>
      <c r="L32" s="231"/>
      <c r="R32" s="655" t="s">
        <v>1204</v>
      </c>
      <c r="S32" s="655" t="s">
        <v>1083</v>
      </c>
      <c r="T32" s="655" t="s">
        <v>1205</v>
      </c>
      <c r="U32" s="655">
        <v>6780</v>
      </c>
      <c r="V32" s="655" t="s">
        <v>1206</v>
      </c>
      <c r="W32" s="656" t="s">
        <v>1173</v>
      </c>
      <c r="X32" s="657" t="s">
        <v>10</v>
      </c>
      <c r="Y32" s="657" t="s">
        <v>10</v>
      </c>
      <c r="Z32" s="658">
        <v>43082</v>
      </c>
      <c r="AA32" s="659">
        <v>2178</v>
      </c>
      <c r="AB32" s="659">
        <f t="shared" si="1"/>
        <v>1197.9000000000001</v>
      </c>
      <c r="AC32" s="659">
        <v>2178</v>
      </c>
      <c r="AD32" s="659">
        <v>1197.9000000000001</v>
      </c>
      <c r="AE32" s="660">
        <f t="shared" si="2"/>
        <v>0.55000000000000004</v>
      </c>
      <c r="AF32" s="672">
        <v>42992</v>
      </c>
      <c r="AG32" s="670" t="s">
        <v>1185</v>
      </c>
      <c r="AH32" s="663">
        <v>43486</v>
      </c>
      <c r="AI32" s="655" t="s">
        <v>1175</v>
      </c>
      <c r="AJ32" s="655"/>
      <c r="AK32" s="655"/>
      <c r="AL32" s="655"/>
    </row>
    <row r="33" spans="1:38" ht="75" x14ac:dyDescent="0.25">
      <c r="A33" s="377"/>
      <c r="B33" s="992" t="s">
        <v>678</v>
      </c>
      <c r="C33" s="992"/>
      <c r="D33" s="992"/>
      <c r="E33" s="374"/>
      <c r="G33" s="375">
        <v>3</v>
      </c>
      <c r="H33" s="1004" t="s">
        <v>679</v>
      </c>
      <c r="I33" s="1004"/>
      <c r="R33" s="655" t="s">
        <v>1169</v>
      </c>
      <c r="S33" s="655" t="s">
        <v>1207</v>
      </c>
      <c r="T33" s="655" t="s">
        <v>1171</v>
      </c>
      <c r="U33" s="655">
        <v>6780</v>
      </c>
      <c r="V33" s="655" t="s">
        <v>1172</v>
      </c>
      <c r="W33" s="656" t="s">
        <v>1208</v>
      </c>
      <c r="X33" s="657" t="s">
        <v>10</v>
      </c>
      <c r="Y33" s="657" t="s">
        <v>10</v>
      </c>
      <c r="Z33" s="658">
        <v>43082</v>
      </c>
      <c r="AA33" s="659">
        <v>2420</v>
      </c>
      <c r="AB33" s="659">
        <f t="shared" si="1"/>
        <v>1331</v>
      </c>
      <c r="AC33" s="659">
        <v>2420</v>
      </c>
      <c r="AD33" s="659">
        <v>1331</v>
      </c>
      <c r="AE33" s="660">
        <f t="shared" si="2"/>
        <v>0.55000000000000004</v>
      </c>
      <c r="AF33" s="672">
        <v>43049</v>
      </c>
      <c r="AG33" s="670" t="s">
        <v>1185</v>
      </c>
      <c r="AH33" s="663">
        <v>43486</v>
      </c>
      <c r="AI33" s="655" t="s">
        <v>1175</v>
      </c>
      <c r="AJ33" s="655"/>
      <c r="AK33" s="655"/>
      <c r="AL33" s="655"/>
    </row>
    <row r="34" spans="1:38" ht="45" x14ac:dyDescent="0.25">
      <c r="A34" s="377"/>
      <c r="B34" s="992" t="s">
        <v>680</v>
      </c>
      <c r="C34" s="992"/>
      <c r="D34" s="992"/>
      <c r="E34" s="374"/>
      <c r="G34" s="375">
        <v>2</v>
      </c>
      <c r="H34" s="1004" t="s">
        <v>681</v>
      </c>
      <c r="I34" s="1004"/>
      <c r="R34" s="655" t="s">
        <v>1209</v>
      </c>
      <c r="S34" s="655" t="s">
        <v>1210</v>
      </c>
      <c r="T34" s="655" t="s">
        <v>1211</v>
      </c>
      <c r="U34" s="655">
        <v>6780</v>
      </c>
      <c r="V34" s="655" t="s">
        <v>1172</v>
      </c>
      <c r="W34" s="656" t="s">
        <v>1173</v>
      </c>
      <c r="X34" s="657" t="s">
        <v>10</v>
      </c>
      <c r="Y34" s="657" t="s">
        <v>10</v>
      </c>
      <c r="Z34" s="658">
        <v>43082</v>
      </c>
      <c r="AA34" s="659">
        <v>2420</v>
      </c>
      <c r="AB34" s="659">
        <f t="shared" si="1"/>
        <v>1331</v>
      </c>
      <c r="AC34" s="659">
        <v>2420</v>
      </c>
      <c r="AD34" s="659">
        <v>1331</v>
      </c>
      <c r="AE34" s="660">
        <f t="shared" si="2"/>
        <v>0.55000000000000004</v>
      </c>
      <c r="AF34" s="672">
        <v>43049</v>
      </c>
      <c r="AG34" s="670" t="s">
        <v>1185</v>
      </c>
      <c r="AH34" s="663">
        <v>43486</v>
      </c>
      <c r="AI34" s="655" t="s">
        <v>1175</v>
      </c>
      <c r="AJ34" s="655"/>
      <c r="AK34" s="655"/>
      <c r="AL34" s="655"/>
    </row>
    <row r="35" spans="1:38" ht="45" x14ac:dyDescent="0.25">
      <c r="A35" s="377"/>
      <c r="B35" s="992" t="s">
        <v>682</v>
      </c>
      <c r="C35" s="992"/>
      <c r="D35" s="992"/>
      <c r="E35" s="374"/>
      <c r="G35" s="375">
        <v>1</v>
      </c>
      <c r="H35" s="1004" t="s">
        <v>683</v>
      </c>
      <c r="I35" s="1004"/>
      <c r="R35" s="655" t="s">
        <v>1212</v>
      </c>
      <c r="S35" s="655" t="s">
        <v>1213</v>
      </c>
      <c r="T35" s="655" t="s">
        <v>1214</v>
      </c>
      <c r="U35" s="655">
        <v>6780</v>
      </c>
      <c r="V35" s="655" t="s">
        <v>1172</v>
      </c>
      <c r="W35" s="656" t="s">
        <v>1173</v>
      </c>
      <c r="X35" s="657" t="s">
        <v>10</v>
      </c>
      <c r="Y35" s="657" t="s">
        <v>10</v>
      </c>
      <c r="Z35" s="658">
        <v>43082</v>
      </c>
      <c r="AA35" s="659">
        <v>3630</v>
      </c>
      <c r="AB35" s="659">
        <f t="shared" si="1"/>
        <v>1996.5000000000002</v>
      </c>
      <c r="AC35" s="659">
        <v>3630</v>
      </c>
      <c r="AD35" s="659">
        <v>1996.5000000000002</v>
      </c>
      <c r="AE35" s="660">
        <f t="shared" si="2"/>
        <v>0.55000000000000004</v>
      </c>
      <c r="AF35" s="672">
        <v>43049</v>
      </c>
      <c r="AG35" s="670" t="s">
        <v>1185</v>
      </c>
      <c r="AH35" s="663">
        <v>43486</v>
      </c>
      <c r="AI35" s="655" t="s">
        <v>1175</v>
      </c>
      <c r="AJ35" s="655"/>
      <c r="AK35" s="655"/>
      <c r="AL35" s="655"/>
    </row>
    <row r="36" spans="1:38" ht="75" x14ac:dyDescent="0.25">
      <c r="A36" s="377"/>
      <c r="B36" s="992" t="s">
        <v>684</v>
      </c>
      <c r="C36" s="992"/>
      <c r="D36" s="992"/>
      <c r="E36" s="374"/>
      <c r="R36" s="673" t="s">
        <v>1215</v>
      </c>
      <c r="S36" s="673" t="s">
        <v>1081</v>
      </c>
      <c r="T36" s="673" t="s">
        <v>1216</v>
      </c>
      <c r="U36" s="673">
        <v>6780</v>
      </c>
      <c r="V36" s="673" t="s">
        <v>1217</v>
      </c>
      <c r="W36" s="674" t="s">
        <v>1218</v>
      </c>
      <c r="X36" s="675">
        <v>47800</v>
      </c>
      <c r="Y36" s="676">
        <f>X36/1000*0.306</f>
        <v>14.626799999999999</v>
      </c>
      <c r="Z36" s="677">
        <v>39770</v>
      </c>
      <c r="AA36" s="678">
        <v>50167.31</v>
      </c>
      <c r="AB36" s="678"/>
      <c r="AC36" s="678">
        <v>50167.31</v>
      </c>
      <c r="AD36" s="678">
        <v>45150.58</v>
      </c>
      <c r="AE36" s="679">
        <v>0.9</v>
      </c>
      <c r="AF36" s="680"/>
      <c r="AG36" s="681"/>
      <c r="AH36" s="682">
        <v>39947</v>
      </c>
      <c r="AI36" s="682">
        <v>40505</v>
      </c>
      <c r="AJ36" s="683" t="s">
        <v>1219</v>
      </c>
      <c r="AK36" s="683" t="s">
        <v>1220</v>
      </c>
      <c r="AL36" s="673"/>
    </row>
    <row r="37" spans="1:38" ht="90" x14ac:dyDescent="0.25">
      <c r="A37" s="377"/>
      <c r="B37" s="992" t="s">
        <v>685</v>
      </c>
      <c r="C37" s="992"/>
      <c r="D37" s="992"/>
      <c r="E37" s="374"/>
      <c r="R37" s="684" t="s">
        <v>1221</v>
      </c>
      <c r="S37" s="684" t="s">
        <v>1081</v>
      </c>
      <c r="T37" s="684" t="s">
        <v>1216</v>
      </c>
      <c r="U37" s="684">
        <v>6780</v>
      </c>
      <c r="V37" s="684" t="s">
        <v>1217</v>
      </c>
      <c r="W37" s="685" t="s">
        <v>1222</v>
      </c>
      <c r="X37" s="686"/>
      <c r="Y37" s="687">
        <f t="shared" ref="Y37:Y51" si="3">X37/1000*0.306</f>
        <v>0</v>
      </c>
      <c r="Z37" s="688">
        <v>41453</v>
      </c>
      <c r="AA37" s="689" t="s">
        <v>10</v>
      </c>
      <c r="AB37" s="689"/>
      <c r="AC37" s="689" t="s">
        <v>1223</v>
      </c>
      <c r="AD37" s="689" t="s">
        <v>1223</v>
      </c>
      <c r="AE37" s="690" t="s">
        <v>10</v>
      </c>
      <c r="AF37" s="691"/>
      <c r="AG37" s="692" t="s">
        <v>10</v>
      </c>
      <c r="AH37" s="684" t="s">
        <v>1223</v>
      </c>
      <c r="AI37" s="693" t="s">
        <v>1224</v>
      </c>
      <c r="AJ37" s="693" t="s">
        <v>10</v>
      </c>
      <c r="AK37" s="693" t="s">
        <v>10</v>
      </c>
      <c r="AL37" s="693" t="s">
        <v>10</v>
      </c>
    </row>
    <row r="38" spans="1:38" ht="120" x14ac:dyDescent="0.25">
      <c r="A38" s="377"/>
      <c r="B38" s="992" t="s">
        <v>686</v>
      </c>
      <c r="C38" s="992"/>
      <c r="D38" s="992"/>
      <c r="E38" s="374"/>
      <c r="R38" s="673" t="s">
        <v>1225</v>
      </c>
      <c r="S38" s="673" t="s">
        <v>1081</v>
      </c>
      <c r="T38" s="673" t="s">
        <v>1216</v>
      </c>
      <c r="U38" s="673">
        <v>6780</v>
      </c>
      <c r="V38" s="673" t="s">
        <v>1217</v>
      </c>
      <c r="W38" s="674" t="s">
        <v>1226</v>
      </c>
      <c r="X38" s="694">
        <v>61807</v>
      </c>
      <c r="Y38" s="695">
        <f t="shared" si="3"/>
        <v>18.912942000000001</v>
      </c>
      <c r="Z38" s="677">
        <v>41453</v>
      </c>
      <c r="AA38" s="678">
        <v>91747.65</v>
      </c>
      <c r="AB38" s="678"/>
      <c r="AC38" s="678">
        <v>81663.41</v>
      </c>
      <c r="AD38" s="678">
        <v>65330.73</v>
      </c>
      <c r="AE38" s="679">
        <v>0.8</v>
      </c>
      <c r="AF38" s="680"/>
      <c r="AG38" s="681"/>
      <c r="AH38" s="682">
        <v>41803</v>
      </c>
      <c r="AI38" s="696">
        <v>43181</v>
      </c>
      <c r="AJ38" s="673"/>
      <c r="AK38" s="673"/>
      <c r="AL38" s="673"/>
    </row>
    <row r="39" spans="1:38" ht="75" x14ac:dyDescent="0.25">
      <c r="A39" s="377"/>
      <c r="B39" s="992" t="s">
        <v>687</v>
      </c>
      <c r="C39" s="992"/>
      <c r="D39" s="992"/>
      <c r="E39" s="374"/>
      <c r="R39" s="684" t="s">
        <v>1227</v>
      </c>
      <c r="S39" s="684" t="s">
        <v>1081</v>
      </c>
      <c r="T39" s="684" t="s">
        <v>1216</v>
      </c>
      <c r="U39" s="684">
        <v>6780</v>
      </c>
      <c r="V39" s="684" t="s">
        <v>1217</v>
      </c>
      <c r="W39" s="685" t="s">
        <v>1228</v>
      </c>
      <c r="X39" s="686"/>
      <c r="Y39" s="687">
        <f t="shared" si="3"/>
        <v>0</v>
      </c>
      <c r="Z39" s="688">
        <v>41453</v>
      </c>
      <c r="AA39" s="689" t="s">
        <v>10</v>
      </c>
      <c r="AB39" s="689"/>
      <c r="AC39" s="689" t="s">
        <v>1223</v>
      </c>
      <c r="AD39" s="689" t="s">
        <v>1223</v>
      </c>
      <c r="AE39" s="690" t="s">
        <v>10</v>
      </c>
      <c r="AF39" s="691"/>
      <c r="AG39" s="692" t="s">
        <v>10</v>
      </c>
      <c r="AH39" s="684" t="s">
        <v>1223</v>
      </c>
      <c r="AI39" s="693" t="s">
        <v>1224</v>
      </c>
      <c r="AJ39" s="693" t="s">
        <v>10</v>
      </c>
      <c r="AK39" s="693" t="s">
        <v>10</v>
      </c>
      <c r="AL39" s="693" t="s">
        <v>10</v>
      </c>
    </row>
    <row r="40" spans="1:38" ht="285" x14ac:dyDescent="0.25">
      <c r="A40" s="377"/>
      <c r="B40" s="992" t="s">
        <v>688</v>
      </c>
      <c r="C40" s="992"/>
      <c r="D40" s="992"/>
      <c r="E40" s="374"/>
      <c r="G40" s="1005" t="s">
        <v>689</v>
      </c>
      <c r="H40" s="1005"/>
      <c r="I40" s="1005"/>
      <c r="R40" s="673" t="s">
        <v>1229</v>
      </c>
      <c r="S40" s="673" t="s">
        <v>1213</v>
      </c>
      <c r="T40" s="673" t="s">
        <v>1230</v>
      </c>
      <c r="U40" s="673">
        <v>6780</v>
      </c>
      <c r="V40" s="673" t="s">
        <v>1172</v>
      </c>
      <c r="W40" s="674" t="s">
        <v>1231</v>
      </c>
      <c r="X40" s="694">
        <v>52050</v>
      </c>
      <c r="Y40" s="695">
        <f t="shared" si="3"/>
        <v>15.927299999999999</v>
      </c>
      <c r="Z40" s="677">
        <v>40612</v>
      </c>
      <c r="AA40" s="678"/>
      <c r="AB40" s="678"/>
      <c r="AC40" s="678">
        <v>349120</v>
      </c>
      <c r="AD40" s="678">
        <v>104736</v>
      </c>
      <c r="AE40" s="679">
        <v>0.3</v>
      </c>
      <c r="AF40" s="680"/>
      <c r="AG40" s="697" t="s">
        <v>1232</v>
      </c>
      <c r="AH40" s="682">
        <v>41234</v>
      </c>
      <c r="AI40" s="682">
        <v>41680</v>
      </c>
      <c r="AJ40" s="673"/>
      <c r="AK40" s="673"/>
      <c r="AL40" s="673"/>
    </row>
    <row r="41" spans="1:38" ht="60" x14ac:dyDescent="0.25">
      <c r="A41" s="377"/>
      <c r="B41" s="992" t="s">
        <v>843</v>
      </c>
      <c r="C41" s="992"/>
      <c r="D41" s="992"/>
      <c r="E41" s="374"/>
      <c r="G41" s="377" t="s">
        <v>690</v>
      </c>
      <c r="H41" s="378" t="s">
        <v>691</v>
      </c>
      <c r="I41" s="377" t="s">
        <v>692</v>
      </c>
      <c r="R41" s="673" t="s">
        <v>1233</v>
      </c>
      <c r="S41" s="673" t="s">
        <v>1181</v>
      </c>
      <c r="T41" s="673" t="s">
        <v>1182</v>
      </c>
      <c r="U41" s="673">
        <v>6780</v>
      </c>
      <c r="V41" s="673" t="s">
        <v>1172</v>
      </c>
      <c r="W41" s="674" t="s">
        <v>1234</v>
      </c>
      <c r="X41" s="675">
        <v>9474</v>
      </c>
      <c r="Y41" s="676">
        <f t="shared" si="3"/>
        <v>2.899044</v>
      </c>
      <c r="Z41" s="677">
        <v>43181</v>
      </c>
      <c r="AA41" s="678">
        <v>3834.97</v>
      </c>
      <c r="AB41" s="678"/>
      <c r="AC41" s="678"/>
      <c r="AD41" s="678"/>
      <c r="AE41" s="679">
        <v>0.35</v>
      </c>
      <c r="AF41" s="680"/>
      <c r="AG41" s="681"/>
      <c r="AH41" s="673"/>
      <c r="AI41" s="698">
        <v>43469</v>
      </c>
      <c r="AJ41" s="673"/>
      <c r="AK41" s="673"/>
      <c r="AL41" s="696">
        <v>43277</v>
      </c>
    </row>
    <row r="42" spans="1:38" ht="195" x14ac:dyDescent="0.25">
      <c r="A42" s="377"/>
      <c r="B42" s="988" t="s">
        <v>247</v>
      </c>
      <c r="C42" s="988"/>
      <c r="D42" s="988"/>
      <c r="E42" s="376">
        <f>SUM(E32:E40)</f>
        <v>0</v>
      </c>
      <c r="G42" s="377" t="s">
        <v>693</v>
      </c>
      <c r="H42" s="377" t="s">
        <v>694</v>
      </c>
      <c r="I42" s="377" t="s">
        <v>695</v>
      </c>
      <c r="R42" s="699" t="s">
        <v>1235</v>
      </c>
      <c r="S42" s="699" t="s">
        <v>1236</v>
      </c>
      <c r="T42" s="699" t="s">
        <v>1237</v>
      </c>
      <c r="U42" s="699">
        <v>6782</v>
      </c>
      <c r="V42" s="699" t="s">
        <v>1238</v>
      </c>
      <c r="W42" s="700" t="s">
        <v>1239</v>
      </c>
      <c r="X42" s="701">
        <f>SUM(X43:X47)</f>
        <v>52216</v>
      </c>
      <c r="Y42" s="702">
        <f t="shared" si="3"/>
        <v>15.978096000000001</v>
      </c>
      <c r="Z42" s="703">
        <v>43353</v>
      </c>
      <c r="AA42" s="704">
        <v>205604</v>
      </c>
      <c r="AB42" s="704">
        <f>AA42*0.35</f>
        <v>71961.399999999994</v>
      </c>
      <c r="AC42" s="704">
        <f>SUM(AC43:AC47)</f>
        <v>147772</v>
      </c>
      <c r="AD42" s="704">
        <f>AC42*0.35</f>
        <v>51720.2</v>
      </c>
      <c r="AE42" s="705">
        <v>0.35</v>
      </c>
      <c r="AF42" s="706" t="s">
        <v>1240</v>
      </c>
      <c r="AG42" s="707"/>
      <c r="AH42" s="708">
        <v>43434</v>
      </c>
      <c r="AI42" s="706" t="s">
        <v>1240</v>
      </c>
      <c r="AJ42" s="699"/>
      <c r="AK42" s="699"/>
      <c r="AL42" s="708">
        <v>43377</v>
      </c>
    </row>
    <row r="43" spans="1:38" ht="45" x14ac:dyDescent="0.25">
      <c r="A43" s="497"/>
      <c r="E43" s="94" t="s">
        <v>730</v>
      </c>
      <c r="R43" s="709"/>
      <c r="S43" s="709" t="s">
        <v>1241</v>
      </c>
      <c r="T43" s="709"/>
      <c r="U43" s="709"/>
      <c r="V43" s="709"/>
      <c r="W43" s="710" t="s">
        <v>1242</v>
      </c>
      <c r="X43" s="711">
        <v>10794</v>
      </c>
      <c r="Y43" s="712">
        <f t="shared" si="3"/>
        <v>3.3029640000000002</v>
      </c>
      <c r="Z43" s="713"/>
      <c r="AA43" s="714">
        <v>57832</v>
      </c>
      <c r="AB43" s="714">
        <f t="shared" ref="AB43:AB52" si="4">AA43*0.35</f>
        <v>20241.199999999997</v>
      </c>
      <c r="AC43" s="714" t="s">
        <v>1223</v>
      </c>
      <c r="AD43" s="714">
        <v>0</v>
      </c>
      <c r="AE43" s="715">
        <v>0.35</v>
      </c>
      <c r="AF43" s="716"/>
      <c r="AG43" s="717"/>
      <c r="AH43" s="709"/>
      <c r="AI43" s="718"/>
      <c r="AJ43" s="718"/>
      <c r="AK43" s="718"/>
      <c r="AL43" s="718"/>
    </row>
    <row r="44" spans="1:38" ht="45" x14ac:dyDescent="0.25">
      <c r="A44" s="497"/>
      <c r="B44" s="989" t="s">
        <v>696</v>
      </c>
      <c r="C44" s="990"/>
      <c r="D44" s="991"/>
      <c r="E44" s="267">
        <v>1</v>
      </c>
      <c r="G44" s="377">
        <v>1</v>
      </c>
      <c r="H44" s="377" t="s">
        <v>697</v>
      </c>
      <c r="R44" s="719"/>
      <c r="S44" s="709" t="s">
        <v>1241</v>
      </c>
      <c r="T44" s="719"/>
      <c r="U44" s="719"/>
      <c r="V44" s="719"/>
      <c r="W44" s="720" t="s">
        <v>1243</v>
      </c>
      <c r="X44" s="721">
        <v>17146</v>
      </c>
      <c r="Y44" s="722">
        <f t="shared" si="3"/>
        <v>5.2466759999999999</v>
      </c>
      <c r="Z44" s="723"/>
      <c r="AA44" s="724">
        <v>20028</v>
      </c>
      <c r="AB44" s="724">
        <f t="shared" si="4"/>
        <v>7009.7999999999993</v>
      </c>
      <c r="AC44" s="724">
        <v>20028</v>
      </c>
      <c r="AD44" s="704">
        <f t="shared" ref="AD44:AD47" si="5">AC44*0.35</f>
        <v>7009.7999999999993</v>
      </c>
      <c r="AE44" s="725">
        <v>0.35</v>
      </c>
      <c r="AF44" s="726"/>
      <c r="AG44" s="727"/>
      <c r="AH44" s="728"/>
      <c r="AI44" s="729"/>
      <c r="AJ44" s="719"/>
      <c r="AK44" s="719"/>
      <c r="AL44" s="728"/>
    </row>
    <row r="45" spans="1:38" ht="30" x14ac:dyDescent="0.25">
      <c r="G45" s="377">
        <v>0</v>
      </c>
      <c r="H45" s="377" t="s">
        <v>698</v>
      </c>
      <c r="R45" s="719"/>
      <c r="S45" s="709" t="s">
        <v>1241</v>
      </c>
      <c r="T45" s="719"/>
      <c r="U45" s="719"/>
      <c r="V45" s="719"/>
      <c r="W45" s="720" t="s">
        <v>1244</v>
      </c>
      <c r="X45" s="721">
        <v>17876</v>
      </c>
      <c r="Y45" s="722">
        <f t="shared" si="3"/>
        <v>5.4700560000000005</v>
      </c>
      <c r="Z45" s="723"/>
      <c r="AA45" s="724">
        <v>93250</v>
      </c>
      <c r="AB45" s="724">
        <f t="shared" si="4"/>
        <v>32637.499999999996</v>
      </c>
      <c r="AC45" s="724">
        <v>93250</v>
      </c>
      <c r="AD45" s="704">
        <f t="shared" si="5"/>
        <v>32637.499999999996</v>
      </c>
      <c r="AE45" s="725">
        <v>0.35</v>
      </c>
      <c r="AF45" s="726"/>
      <c r="AG45" s="727"/>
      <c r="AH45" s="728"/>
      <c r="AI45" s="729"/>
      <c r="AJ45" s="719"/>
      <c r="AK45" s="719"/>
      <c r="AL45" s="728"/>
    </row>
    <row r="46" spans="1:38" ht="30" x14ac:dyDescent="0.25">
      <c r="G46" s="1022" t="s">
        <v>965</v>
      </c>
      <c r="H46" s="1022"/>
      <c r="I46" s="1022"/>
      <c r="J46" s="1022"/>
      <c r="K46" s="1022"/>
      <c r="L46" s="1022"/>
      <c r="R46" s="719"/>
      <c r="S46" s="709" t="s">
        <v>1241</v>
      </c>
      <c r="T46" s="719"/>
      <c r="U46" s="719"/>
      <c r="V46" s="719"/>
      <c r="W46" s="720" t="s">
        <v>1245</v>
      </c>
      <c r="X46" s="721">
        <v>2994</v>
      </c>
      <c r="Y46" s="722">
        <f t="shared" si="3"/>
        <v>0.91616400000000009</v>
      </c>
      <c r="Z46" s="723"/>
      <c r="AA46" s="724">
        <v>5946</v>
      </c>
      <c r="AB46" s="724">
        <f t="shared" si="4"/>
        <v>2081.1</v>
      </c>
      <c r="AC46" s="724">
        <v>5946</v>
      </c>
      <c r="AD46" s="704">
        <f t="shared" si="5"/>
        <v>2081.1</v>
      </c>
      <c r="AE46" s="725">
        <v>0.35</v>
      </c>
      <c r="AF46" s="726"/>
      <c r="AG46" s="727"/>
      <c r="AH46" s="728"/>
      <c r="AI46" s="729"/>
      <c r="AJ46" s="719"/>
      <c r="AK46" s="719"/>
      <c r="AL46" s="728"/>
    </row>
    <row r="47" spans="1:38" ht="45" x14ac:dyDescent="0.25">
      <c r="A47" s="959" t="s">
        <v>966</v>
      </c>
      <c r="B47" s="1022"/>
      <c r="C47" s="1022"/>
      <c r="D47" s="1022"/>
      <c r="E47" s="1022"/>
      <c r="F47" s="1022"/>
      <c r="G47" s="1022"/>
      <c r="H47" s="1022"/>
      <c r="I47" s="1022"/>
      <c r="J47" s="1022"/>
      <c r="K47" s="1022"/>
      <c r="L47" s="1022"/>
      <c r="R47" s="719"/>
      <c r="S47" s="709" t="s">
        <v>1241</v>
      </c>
      <c r="T47" s="719"/>
      <c r="U47" s="719"/>
      <c r="V47" s="719"/>
      <c r="W47" s="720" t="s">
        <v>1246</v>
      </c>
      <c r="X47" s="721">
        <v>3406</v>
      </c>
      <c r="Y47" s="722">
        <f t="shared" si="3"/>
        <v>1.0422359999999999</v>
      </c>
      <c r="Z47" s="723"/>
      <c r="AA47" s="724">
        <v>28548</v>
      </c>
      <c r="AB47" s="724">
        <f t="shared" si="4"/>
        <v>9991.7999999999993</v>
      </c>
      <c r="AC47" s="724">
        <v>28548</v>
      </c>
      <c r="AD47" s="704">
        <f t="shared" si="5"/>
        <v>9991.7999999999993</v>
      </c>
      <c r="AE47" s="725">
        <v>0.35</v>
      </c>
      <c r="AF47" s="726"/>
      <c r="AG47" s="727"/>
      <c r="AH47" s="728"/>
      <c r="AI47" s="729"/>
      <c r="AJ47" s="719"/>
      <c r="AK47" s="719"/>
      <c r="AL47" s="728"/>
    </row>
    <row r="48" spans="1:38" ht="60" x14ac:dyDescent="0.25">
      <c r="A48" s="959"/>
      <c r="B48" s="1022"/>
      <c r="C48" s="1022"/>
      <c r="D48" s="1022"/>
      <c r="E48" s="1022"/>
      <c r="F48" s="1022"/>
      <c r="G48" s="1022"/>
      <c r="H48" s="1022"/>
      <c r="I48" s="1022"/>
      <c r="J48" s="1022"/>
      <c r="K48" s="1022"/>
      <c r="L48" s="1022"/>
      <c r="R48" s="673" t="s">
        <v>1247</v>
      </c>
      <c r="S48" s="673" t="s">
        <v>1181</v>
      </c>
      <c r="T48" s="673" t="s">
        <v>1182</v>
      </c>
      <c r="U48" s="673">
        <v>6780</v>
      </c>
      <c r="V48" s="673" t="s">
        <v>1172</v>
      </c>
      <c r="W48" s="674" t="s">
        <v>1248</v>
      </c>
      <c r="X48" s="675">
        <v>30050</v>
      </c>
      <c r="Y48" s="676">
        <f t="shared" si="3"/>
        <v>9.1952999999999996</v>
      </c>
      <c r="Z48" s="677">
        <v>43441</v>
      </c>
      <c r="AA48" s="678">
        <v>42366.3</v>
      </c>
      <c r="AB48" s="678">
        <f t="shared" si="4"/>
        <v>14828.205</v>
      </c>
      <c r="AC48" s="678"/>
      <c r="AD48" s="678"/>
      <c r="AE48" s="679">
        <v>0.35</v>
      </c>
      <c r="AF48" s="680" t="s">
        <v>1249</v>
      </c>
      <c r="AG48" s="681"/>
      <c r="AH48" s="673"/>
      <c r="AI48" s="730"/>
      <c r="AJ48" s="673"/>
      <c r="AK48" s="673"/>
      <c r="AL48" s="673"/>
    </row>
    <row r="49" spans="1:38" ht="60" x14ac:dyDescent="0.25">
      <c r="A49" s="959"/>
      <c r="B49" s="1022"/>
      <c r="C49" s="1022"/>
      <c r="D49" s="1022"/>
      <c r="E49" s="1022"/>
      <c r="F49" s="1022"/>
      <c r="G49" s="1022"/>
      <c r="H49" s="1022"/>
      <c r="I49" s="1022"/>
      <c r="J49" s="1022"/>
      <c r="K49" s="1022"/>
      <c r="L49" s="1022"/>
      <c r="R49" s="673" t="s">
        <v>1247</v>
      </c>
      <c r="S49" s="673" t="s">
        <v>1080</v>
      </c>
      <c r="T49" s="673" t="s">
        <v>1200</v>
      </c>
      <c r="U49" s="673">
        <v>6780</v>
      </c>
      <c r="V49" s="673" t="s">
        <v>389</v>
      </c>
      <c r="W49" s="674" t="s">
        <v>1248</v>
      </c>
      <c r="X49" s="731">
        <v>36580</v>
      </c>
      <c r="Y49" s="732">
        <f t="shared" si="3"/>
        <v>11.193479999999999</v>
      </c>
      <c r="Z49" s="682">
        <v>43441</v>
      </c>
      <c r="AA49" s="733">
        <v>38377.57</v>
      </c>
      <c r="AB49" s="733">
        <f t="shared" si="4"/>
        <v>13432.1495</v>
      </c>
      <c r="AC49" s="733"/>
      <c r="AD49" s="733"/>
      <c r="AE49" s="734">
        <v>0.35</v>
      </c>
      <c r="AF49" s="680" t="s">
        <v>1249</v>
      </c>
      <c r="AG49" s="735"/>
      <c r="AH49" s="673"/>
      <c r="AI49" s="730"/>
      <c r="AJ49" s="673"/>
      <c r="AK49" s="673"/>
      <c r="AL49" s="673"/>
    </row>
    <row r="50" spans="1:38" ht="75" x14ac:dyDescent="0.25">
      <c r="A50" s="959"/>
      <c r="B50" s="1022"/>
      <c r="C50" s="1022"/>
      <c r="D50" s="1022"/>
      <c r="E50" s="1022"/>
      <c r="F50" s="1022"/>
      <c r="G50" s="1022"/>
      <c r="H50" s="1022"/>
      <c r="I50" s="1022"/>
      <c r="J50" s="1022"/>
      <c r="K50" s="1022"/>
      <c r="L50" s="1022"/>
      <c r="R50" s="736" t="s">
        <v>1247</v>
      </c>
      <c r="S50" s="736" t="s">
        <v>1177</v>
      </c>
      <c r="T50" s="736" t="s">
        <v>1178</v>
      </c>
      <c r="U50" s="736">
        <v>6780</v>
      </c>
      <c r="V50" s="736" t="s">
        <v>1172</v>
      </c>
      <c r="W50" s="737" t="s">
        <v>1250</v>
      </c>
      <c r="X50" s="738">
        <v>5790</v>
      </c>
      <c r="Y50" s="739">
        <f t="shared" si="3"/>
        <v>1.7717399999999999</v>
      </c>
      <c r="Z50" s="673" t="s">
        <v>1251</v>
      </c>
      <c r="AA50" s="740">
        <v>39301</v>
      </c>
      <c r="AB50" s="740">
        <f t="shared" si="4"/>
        <v>13755.349999999999</v>
      </c>
      <c r="AC50" s="740"/>
      <c r="AD50" s="740"/>
      <c r="AE50" s="741">
        <v>0.35</v>
      </c>
      <c r="AF50" s="742" t="s">
        <v>1252</v>
      </c>
      <c r="AG50" s="743"/>
      <c r="AH50" s="736"/>
      <c r="AI50" s="736"/>
      <c r="AJ50" s="736"/>
      <c r="AK50" s="736"/>
      <c r="AL50" s="736"/>
    </row>
    <row r="51" spans="1:38" ht="45" x14ac:dyDescent="0.25">
      <c r="A51" s="959"/>
      <c r="B51" s="1022"/>
      <c r="C51" s="1022"/>
      <c r="D51" s="1022"/>
      <c r="E51" s="1022"/>
      <c r="F51" s="1022"/>
      <c r="G51" s="1022"/>
      <c r="H51" s="1022"/>
      <c r="I51" s="1022"/>
      <c r="J51" s="1022"/>
      <c r="K51" s="1022"/>
      <c r="L51" s="1022"/>
      <c r="R51" s="673" t="s">
        <v>1247</v>
      </c>
      <c r="S51" s="673" t="s">
        <v>1177</v>
      </c>
      <c r="T51" s="673" t="s">
        <v>1178</v>
      </c>
      <c r="U51" s="673">
        <v>6780</v>
      </c>
      <c r="V51" s="673" t="s">
        <v>1172</v>
      </c>
      <c r="W51" s="674" t="s">
        <v>1253</v>
      </c>
      <c r="X51" s="731">
        <v>11730</v>
      </c>
      <c r="Y51" s="744">
        <f t="shared" si="3"/>
        <v>3.5893800000000002</v>
      </c>
      <c r="Z51" s="673" t="s">
        <v>1251</v>
      </c>
      <c r="AA51" s="745">
        <v>20000</v>
      </c>
      <c r="AB51" s="745">
        <f t="shared" si="4"/>
        <v>7000</v>
      </c>
      <c r="AC51" s="745"/>
      <c r="AD51" s="745"/>
      <c r="AE51" s="746">
        <v>0.35</v>
      </c>
      <c r="AF51" s="747" t="s">
        <v>1252</v>
      </c>
      <c r="AG51" s="748"/>
      <c r="AH51" s="673"/>
      <c r="AI51" s="673"/>
      <c r="AJ51" s="673"/>
      <c r="AK51" s="673"/>
      <c r="AL51" s="673"/>
    </row>
    <row r="52" spans="1:38" ht="60" x14ac:dyDescent="0.25">
      <c r="A52" s="959" t="s">
        <v>967</v>
      </c>
      <c r="B52" s="1022"/>
      <c r="C52" s="1022"/>
      <c r="D52" s="1022"/>
      <c r="E52" s="1022"/>
      <c r="F52" s="1022"/>
      <c r="G52" s="1022"/>
      <c r="H52" s="1022"/>
      <c r="I52" s="1022"/>
      <c r="J52" s="1022"/>
      <c r="K52" s="1022"/>
      <c r="L52" s="1022"/>
      <c r="R52" s="673" t="s">
        <v>1247</v>
      </c>
      <c r="S52" s="673" t="s">
        <v>1170</v>
      </c>
      <c r="T52" s="673"/>
      <c r="U52" s="673"/>
      <c r="V52" s="673"/>
      <c r="W52" s="674" t="s">
        <v>1254</v>
      </c>
      <c r="X52" s="731"/>
      <c r="Y52" s="731"/>
      <c r="Z52" s="696">
        <v>43755</v>
      </c>
      <c r="AA52" s="745">
        <v>19927.259999999998</v>
      </c>
      <c r="AB52" s="745">
        <f t="shared" si="4"/>
        <v>6974.5409999999993</v>
      </c>
      <c r="AC52" s="745"/>
      <c r="AD52" s="745"/>
      <c r="AE52" s="746"/>
      <c r="AF52" s="745"/>
      <c r="AG52" s="748"/>
      <c r="AH52" s="673"/>
      <c r="AI52" s="673"/>
      <c r="AJ52" s="673"/>
      <c r="AK52" s="673"/>
      <c r="AL52" s="673"/>
    </row>
    <row r="53" spans="1:38" ht="45" x14ac:dyDescent="0.25">
      <c r="A53" s="959"/>
      <c r="B53" s="1022"/>
      <c r="C53" s="1022"/>
      <c r="D53" s="1022"/>
      <c r="E53" s="1022"/>
      <c r="F53" s="1022"/>
      <c r="G53" s="1022"/>
      <c r="H53" s="1022"/>
      <c r="I53" s="1022"/>
      <c r="J53" s="1022"/>
      <c r="K53" s="1022"/>
      <c r="L53" s="1022"/>
      <c r="R53" s="673" t="s">
        <v>1255</v>
      </c>
      <c r="S53" s="673" t="s">
        <v>1083</v>
      </c>
      <c r="T53" s="673"/>
      <c r="U53" s="673"/>
      <c r="V53" s="673"/>
      <c r="W53" s="674" t="s">
        <v>1256</v>
      </c>
      <c r="X53" s="731"/>
      <c r="Y53" s="731"/>
      <c r="Z53" s="696"/>
      <c r="AA53" s="745"/>
      <c r="AB53" s="745"/>
      <c r="AC53" s="745"/>
      <c r="AD53" s="745"/>
      <c r="AE53" s="746"/>
      <c r="AF53" s="745"/>
      <c r="AG53" s="748"/>
      <c r="AH53" s="673"/>
      <c r="AI53" s="673"/>
      <c r="AJ53" s="673"/>
      <c r="AK53" s="673"/>
      <c r="AL53" s="673"/>
    </row>
    <row r="54" spans="1:38" x14ac:dyDescent="0.25">
      <c r="A54" s="959"/>
      <c r="B54" s="1022"/>
      <c r="C54" s="1022"/>
      <c r="D54" s="1022"/>
      <c r="E54" s="1022"/>
      <c r="F54" s="1022"/>
      <c r="G54" s="1022"/>
      <c r="H54" s="1022"/>
      <c r="I54" s="1022"/>
      <c r="J54" s="1022"/>
      <c r="K54" s="1022"/>
      <c r="L54" s="1022"/>
    </row>
    <row r="55" spans="1:38" x14ac:dyDescent="0.25">
      <c r="A55" s="959"/>
      <c r="B55" s="1022"/>
      <c r="C55" s="1022"/>
      <c r="D55" s="1022"/>
      <c r="E55" s="1022"/>
      <c r="F55" s="1022"/>
      <c r="G55" s="1022"/>
      <c r="H55" s="1022"/>
      <c r="I55" s="1022"/>
      <c r="J55" s="1022"/>
      <c r="K55" s="1022"/>
      <c r="L55" s="1022"/>
    </row>
    <row r="56" spans="1:38" x14ac:dyDescent="0.25">
      <c r="A56" s="959"/>
      <c r="B56" s="1022"/>
      <c r="C56" s="1022"/>
      <c r="D56" s="1022"/>
      <c r="E56" s="1022"/>
      <c r="F56" s="1022"/>
      <c r="G56" s="1022"/>
      <c r="H56" s="1022"/>
      <c r="I56" s="1022"/>
      <c r="J56" s="1022"/>
      <c r="K56" s="1022"/>
      <c r="L56" s="1022"/>
    </row>
    <row r="57" spans="1:38" x14ac:dyDescent="0.25">
      <c r="A57" s="959"/>
      <c r="B57" s="1022"/>
      <c r="C57" s="1022"/>
      <c r="D57" s="1022"/>
      <c r="E57" s="1022"/>
      <c r="F57" s="1022"/>
      <c r="G57" s="1022"/>
      <c r="H57" s="1022"/>
      <c r="I57" s="1022"/>
      <c r="J57" s="1022"/>
      <c r="K57" s="1022"/>
      <c r="L57" s="1022"/>
    </row>
    <row r="58" spans="1:38" x14ac:dyDescent="0.25">
      <c r="A58" s="959"/>
      <c r="B58" s="1022"/>
      <c r="C58" s="1022"/>
      <c r="D58" s="1022"/>
      <c r="E58" s="1022"/>
      <c r="F58" s="1022"/>
      <c r="G58" s="1022"/>
      <c r="H58" s="1022"/>
      <c r="I58" s="1022"/>
      <c r="J58" s="1022"/>
      <c r="K58" s="1022"/>
      <c r="L58" s="1022"/>
    </row>
    <row r="59" spans="1:38" x14ac:dyDescent="0.25">
      <c r="A59" s="959"/>
      <c r="B59" s="1022"/>
      <c r="C59" s="1022"/>
      <c r="D59" s="1022"/>
      <c r="E59" s="1022"/>
      <c r="F59" s="1022"/>
      <c r="G59" s="1022"/>
      <c r="H59" s="1022"/>
      <c r="I59" s="1022"/>
      <c r="J59" s="1022"/>
      <c r="K59" s="1022"/>
      <c r="L59" s="1022"/>
    </row>
    <row r="60" spans="1:38" x14ac:dyDescent="0.25">
      <c r="A60" s="959"/>
      <c r="B60" s="1022"/>
      <c r="C60" s="1022"/>
      <c r="D60" s="1022"/>
      <c r="E60" s="1022"/>
      <c r="F60" s="1022"/>
      <c r="G60" s="1022"/>
      <c r="H60" s="1022"/>
      <c r="I60" s="1022"/>
      <c r="J60" s="1022"/>
      <c r="K60" s="1022"/>
      <c r="L60" s="1022"/>
    </row>
    <row r="61" spans="1:38" x14ac:dyDescent="0.25">
      <c r="A61" s="959"/>
      <c r="B61" s="1022"/>
      <c r="C61" s="1022"/>
      <c r="D61" s="1022"/>
      <c r="E61" s="1022"/>
      <c r="F61" s="1022"/>
      <c r="G61" s="1022"/>
      <c r="H61" s="1022"/>
      <c r="I61" s="1022"/>
      <c r="J61" s="1022"/>
      <c r="K61" s="1022"/>
      <c r="L61" s="1022"/>
    </row>
    <row r="62" spans="1:38" x14ac:dyDescent="0.25">
      <c r="A62" s="959"/>
      <c r="B62" s="1022"/>
      <c r="C62" s="1022"/>
      <c r="D62" s="1022"/>
      <c r="E62" s="1022"/>
      <c r="F62" s="1022"/>
      <c r="G62" s="1022"/>
      <c r="H62" s="1022"/>
      <c r="I62" s="1022"/>
      <c r="J62" s="1022"/>
      <c r="K62" s="1022"/>
      <c r="L62" s="1022"/>
    </row>
    <row r="63" spans="1:38" x14ac:dyDescent="0.25">
      <c r="A63" s="959" t="s">
        <v>968</v>
      </c>
      <c r="B63" s="1022"/>
      <c r="C63" s="1022"/>
      <c r="D63" s="1022"/>
      <c r="E63" s="1022"/>
      <c r="F63" s="1022"/>
      <c r="G63" s="1022"/>
      <c r="H63" s="1022"/>
      <c r="I63" s="1022"/>
      <c r="J63" s="1022"/>
      <c r="K63" s="1022"/>
      <c r="L63" s="1022"/>
    </row>
    <row r="64" spans="1:38"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7">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6:E6"/>
    <mergeCell ref="B7:E7"/>
    <mergeCell ref="G7:H7"/>
    <mergeCell ref="B10:E10"/>
    <mergeCell ref="B9:E9"/>
    <mergeCell ref="M27:P27"/>
    <mergeCell ref="M28:P28"/>
    <mergeCell ref="M22:P22"/>
    <mergeCell ref="M23:P23"/>
    <mergeCell ref="M24:P24"/>
    <mergeCell ref="M25:P25"/>
    <mergeCell ref="M26:P26"/>
    <mergeCell ref="M17:P17"/>
    <mergeCell ref="M18:P18"/>
    <mergeCell ref="M19:P19"/>
    <mergeCell ref="M20:P20"/>
    <mergeCell ref="M21:P21"/>
    <mergeCell ref="B17:E17"/>
    <mergeCell ref="B18:E18"/>
    <mergeCell ref="B19:E19"/>
    <mergeCell ref="B20:E20"/>
    <mergeCell ref="B21:E21"/>
    <mergeCell ref="B31:D31"/>
    <mergeCell ref="B32:D32"/>
    <mergeCell ref="G32:I32"/>
    <mergeCell ref="B11:E11"/>
    <mergeCell ref="B12:E12"/>
    <mergeCell ref="B13:E13"/>
    <mergeCell ref="B14:E14"/>
    <mergeCell ref="B15:E15"/>
    <mergeCell ref="B33:D33"/>
    <mergeCell ref="H33:I33"/>
    <mergeCell ref="B28:E28"/>
    <mergeCell ref="B29:E29"/>
    <mergeCell ref="B22:E22"/>
    <mergeCell ref="B23:E23"/>
    <mergeCell ref="B24:E24"/>
    <mergeCell ref="B25:E25"/>
    <mergeCell ref="B26:E26"/>
    <mergeCell ref="B27:E27"/>
    <mergeCell ref="G40:I40"/>
    <mergeCell ref="B34:D34"/>
    <mergeCell ref="H34:I34"/>
    <mergeCell ref="B35:D35"/>
    <mergeCell ref="H35:I35"/>
    <mergeCell ref="B36:D36"/>
    <mergeCell ref="B42:D42"/>
    <mergeCell ref="B44:D44"/>
    <mergeCell ref="B37:D37"/>
    <mergeCell ref="B38:D38"/>
    <mergeCell ref="B39:D39"/>
    <mergeCell ref="B40:D40"/>
    <mergeCell ref="B41:D41"/>
    <mergeCell ref="Z10:AA10"/>
    <mergeCell ref="Z16:AA16"/>
    <mergeCell ref="Z11:AA11"/>
    <mergeCell ref="Z12:AA12"/>
    <mergeCell ref="Z13:AA13"/>
    <mergeCell ref="Z14:AA14"/>
    <mergeCell ref="Z15:AA15"/>
    <mergeCell ref="A1:E1"/>
    <mergeCell ref="B2:E2"/>
    <mergeCell ref="G2:H2"/>
    <mergeCell ref="B3:E3"/>
    <mergeCell ref="G3:H3"/>
    <mergeCell ref="Z5:AB5"/>
    <mergeCell ref="Z6:AA6"/>
    <mergeCell ref="Z8:AA8"/>
    <mergeCell ref="Z9:AA9"/>
    <mergeCell ref="B16:E16"/>
    <mergeCell ref="G4:H4"/>
    <mergeCell ref="G5:H5"/>
    <mergeCell ref="B8:E8"/>
    <mergeCell ref="G8:G10"/>
    <mergeCell ref="G6:H6"/>
    <mergeCell ref="B4:E4"/>
    <mergeCell ref="B5:E5"/>
  </mergeCells>
  <conditionalFormatting sqref="B5">
    <cfRule type="containsText" dxfId="269" priority="1" operator="containsText" text="Terminé">
      <formula>NOT(ISERROR(SEARCH("Terminé",B5)))</formula>
    </cfRule>
    <cfRule type="containsText" dxfId="268" priority="2" operator="containsText" text="En cours">
      <formula>NOT(ISERROR(SEARCH("En cours",B5)))</formula>
    </cfRule>
    <cfRule type="containsText" dxfId="26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H69"/>
  <sheetViews>
    <sheetView zoomScaleNormal="100" workbookViewId="0">
      <selection activeCell="G3" sqref="G3:H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34" ht="26.25" x14ac:dyDescent="0.4">
      <c r="A1" s="1001" t="s">
        <v>937</v>
      </c>
      <c r="B1" s="1001"/>
      <c r="C1" s="1001"/>
      <c r="D1" s="1001"/>
      <c r="E1" s="1001"/>
      <c r="F1" s="7"/>
      <c r="G1" s="7"/>
      <c r="H1" s="7"/>
    </row>
    <row r="2" spans="1:34" ht="19.5" customHeight="1" x14ac:dyDescent="0.25">
      <c r="A2" s="415" t="s">
        <v>750</v>
      </c>
      <c r="B2" s="1068" t="s">
        <v>74</v>
      </c>
      <c r="C2" s="1068"/>
      <c r="D2" s="1068"/>
      <c r="E2" s="1068"/>
      <c r="F2" s="7"/>
      <c r="G2" s="986" t="s">
        <v>751</v>
      </c>
      <c r="H2" s="986"/>
    </row>
    <row r="3" spans="1:34" ht="19.5" customHeight="1" x14ac:dyDescent="0.25">
      <c r="A3" s="409" t="s">
        <v>743</v>
      </c>
      <c r="B3" s="987" t="s">
        <v>457</v>
      </c>
      <c r="C3" s="987"/>
      <c r="D3" s="987"/>
      <c r="E3" s="987"/>
      <c r="F3" s="7"/>
      <c r="G3" s="986" t="s">
        <v>752</v>
      </c>
      <c r="H3" s="986"/>
    </row>
    <row r="4" spans="1:34" ht="19.5" customHeight="1" x14ac:dyDescent="0.25">
      <c r="A4" s="403" t="s">
        <v>292</v>
      </c>
      <c r="B4" s="996" t="s">
        <v>37</v>
      </c>
      <c r="C4" s="996"/>
      <c r="D4" s="996"/>
      <c r="E4" s="996"/>
      <c r="F4" s="7"/>
      <c r="G4" s="986" t="s">
        <v>753</v>
      </c>
      <c r="H4" s="986"/>
    </row>
    <row r="5" spans="1:34" ht="19.5" customHeight="1" x14ac:dyDescent="0.25">
      <c r="A5" s="403" t="s">
        <v>16</v>
      </c>
      <c r="B5" s="1015" t="s">
        <v>20</v>
      </c>
      <c r="C5" s="1015"/>
      <c r="D5" s="1015"/>
      <c r="E5" s="1015"/>
      <c r="F5" s="7"/>
      <c r="G5" s="986" t="s">
        <v>754</v>
      </c>
      <c r="H5" s="986"/>
      <c r="AF5" s="1023" t="s">
        <v>609</v>
      </c>
      <c r="AG5" s="1024"/>
      <c r="AH5" s="1025"/>
    </row>
    <row r="6" spans="1:34" ht="19.5" customHeight="1" x14ac:dyDescent="0.25">
      <c r="A6" s="413" t="s">
        <v>474</v>
      </c>
      <c r="B6" s="993" t="s">
        <v>608</v>
      </c>
      <c r="C6" s="993"/>
      <c r="D6" s="993"/>
      <c r="E6" s="993"/>
      <c r="F6" s="7"/>
      <c r="G6" s="986" t="s">
        <v>755</v>
      </c>
      <c r="H6" s="986"/>
      <c r="AF6" s="1026"/>
      <c r="AG6" s="1027"/>
      <c r="AH6" s="357" t="s">
        <v>610</v>
      </c>
    </row>
    <row r="7" spans="1:34" ht="19.5" customHeight="1" x14ac:dyDescent="0.25">
      <c r="A7" s="253" t="s">
        <v>475</v>
      </c>
      <c r="B7" s="994" t="s">
        <v>608</v>
      </c>
      <c r="C7" s="994"/>
      <c r="D7" s="994"/>
      <c r="E7" s="994"/>
      <c r="F7" s="7"/>
      <c r="G7" s="995" t="s">
        <v>756</v>
      </c>
      <c r="H7" s="995"/>
      <c r="I7" s="400"/>
      <c r="J7" s="400"/>
      <c r="AF7" s="401"/>
      <c r="AG7" s="402"/>
      <c r="AH7" s="357"/>
    </row>
    <row r="8" spans="1:34" ht="24" customHeight="1" x14ac:dyDescent="0.25">
      <c r="A8" s="222" t="s">
        <v>1</v>
      </c>
      <c r="B8" s="967"/>
      <c r="C8" s="967"/>
      <c r="D8" s="967"/>
      <c r="E8" s="967"/>
      <c r="G8" s="997" t="s">
        <v>936</v>
      </c>
      <c r="O8" s="60" t="s">
        <v>117</v>
      </c>
      <c r="P8" s="60" t="s">
        <v>118</v>
      </c>
      <c r="Q8" s="60" t="s">
        <v>531</v>
      </c>
      <c r="AF8" s="1028" t="s">
        <v>611</v>
      </c>
      <c r="AG8" s="1029"/>
      <c r="AH8" s="357">
        <v>0.26819999999999999</v>
      </c>
    </row>
    <row r="9" spans="1:34" ht="24" customHeight="1" x14ac:dyDescent="0.25">
      <c r="A9" s="222" t="s">
        <v>0</v>
      </c>
      <c r="B9" s="967"/>
      <c r="C9" s="967"/>
      <c r="D9" s="967"/>
      <c r="E9" s="967"/>
      <c r="G9" s="997"/>
      <c r="O9" s="60">
        <v>0.7</v>
      </c>
      <c r="P9" s="60">
        <f>AB8</f>
        <v>0</v>
      </c>
      <c r="Q9" s="60">
        <v>5.7000000000000002E-2</v>
      </c>
      <c r="AF9" s="1028" t="s">
        <v>612</v>
      </c>
      <c r="AG9" s="1029"/>
      <c r="AH9" s="357">
        <v>3.1300000000000001E-2</v>
      </c>
    </row>
    <row r="10" spans="1:34" ht="36.75" customHeight="1" x14ac:dyDescent="0.25">
      <c r="A10" s="222" t="s">
        <v>2</v>
      </c>
      <c r="B10" s="1034"/>
      <c r="C10" s="1034"/>
      <c r="D10" s="1034"/>
      <c r="E10" s="1034"/>
      <c r="G10" s="997"/>
      <c r="H10" s="7"/>
      <c r="AF10" s="1028"/>
      <c r="AG10" s="1029"/>
      <c r="AH10" s="357"/>
    </row>
    <row r="11" spans="1:34" ht="35.25" customHeight="1" x14ac:dyDescent="0.25">
      <c r="A11" s="222" t="s">
        <v>29</v>
      </c>
      <c r="B11" s="1035"/>
      <c r="C11" s="1035"/>
      <c r="D11" s="1035"/>
      <c r="E11" s="1035"/>
      <c r="G11" s="225">
        <f>SUM(J17:J30)</f>
        <v>0</v>
      </c>
      <c r="H11" s="131" t="s">
        <v>521</v>
      </c>
      <c r="AF11" s="1028" t="s">
        <v>613</v>
      </c>
      <c r="AG11" s="1029"/>
      <c r="AH11" s="357">
        <v>0.26819999999999999</v>
      </c>
    </row>
    <row r="12" spans="1:34" ht="30" customHeight="1" x14ac:dyDescent="0.25">
      <c r="A12" s="222" t="s">
        <v>14</v>
      </c>
      <c r="B12" s="1010"/>
      <c r="C12" s="1010"/>
      <c r="D12" s="1010"/>
      <c r="E12" s="1010"/>
      <c r="G12" s="431">
        <f>SUM(K17:K30)</f>
        <v>0</v>
      </c>
      <c r="H12" s="185" t="s">
        <v>522</v>
      </c>
      <c r="AF12" s="1028" t="s">
        <v>614</v>
      </c>
      <c r="AG12" s="1029"/>
      <c r="AH12" s="357">
        <v>1.18E-2</v>
      </c>
    </row>
    <row r="13" spans="1:34" ht="30" customHeight="1" x14ac:dyDescent="0.25">
      <c r="A13" s="222" t="s">
        <v>3</v>
      </c>
      <c r="B13" s="1011"/>
      <c r="C13" s="1011"/>
      <c r="D13" s="1011"/>
      <c r="E13" s="1011"/>
      <c r="G13" s="431">
        <f>SUM(L17:L30)</f>
        <v>0</v>
      </c>
      <c r="H13" s="431" t="s">
        <v>523</v>
      </c>
      <c r="AB13" s="358">
        <f>AB15/0.55</f>
        <v>0</v>
      </c>
      <c r="AF13" s="1028" t="s">
        <v>615</v>
      </c>
      <c r="AG13" s="1029"/>
      <c r="AH13" s="358">
        <v>0.36854545454545451</v>
      </c>
    </row>
    <row r="14" spans="1:34" ht="30" customHeight="1" thickBot="1" x14ac:dyDescent="0.3">
      <c r="A14" s="222" t="s">
        <v>15</v>
      </c>
      <c r="B14" s="1010"/>
      <c r="C14" s="1010"/>
      <c r="D14" s="1010"/>
      <c r="E14" s="1010"/>
      <c r="AF14" s="1028" t="s">
        <v>616</v>
      </c>
      <c r="AG14" s="1029"/>
      <c r="AH14" s="357">
        <v>0.26819999999999999</v>
      </c>
    </row>
    <row r="15" spans="1:34" ht="30" customHeight="1" thickTop="1" x14ac:dyDescent="0.25">
      <c r="A15" s="222" t="s">
        <v>4</v>
      </c>
      <c r="B15" s="1010"/>
      <c r="C15" s="1010"/>
      <c r="D15" s="1010"/>
      <c r="E15" s="1010"/>
      <c r="G15" s="1075" t="s">
        <v>936</v>
      </c>
      <c r="H15" s="1076"/>
      <c r="I15" s="1076"/>
      <c r="J15" s="1077"/>
    </row>
    <row r="16" spans="1:34" ht="30" customHeight="1" x14ac:dyDescent="0.25">
      <c r="A16" s="222" t="s">
        <v>5</v>
      </c>
      <c r="B16" s="1010"/>
      <c r="C16" s="1010"/>
      <c r="D16" s="1010"/>
      <c r="E16" s="1010"/>
      <c r="G16" s="246" t="s">
        <v>517</v>
      </c>
      <c r="H16" s="247" t="s">
        <v>530</v>
      </c>
      <c r="I16" s="247" t="s">
        <v>520</v>
      </c>
      <c r="J16" s="248" t="s">
        <v>200</v>
      </c>
    </row>
    <row r="17" spans="1:12" ht="30" customHeight="1" x14ac:dyDescent="0.25">
      <c r="A17" s="222" t="s">
        <v>6</v>
      </c>
      <c r="B17" s="1000">
        <f>SUM(G12:N12)</f>
        <v>0</v>
      </c>
      <c r="C17" s="1000"/>
      <c r="D17" s="1000"/>
      <c r="E17" s="1000"/>
      <c r="G17" s="238"/>
      <c r="H17" s="237"/>
      <c r="I17" s="234"/>
      <c r="J17" s="239"/>
    </row>
    <row r="18" spans="1:12" ht="30" customHeight="1" x14ac:dyDescent="0.25">
      <c r="A18" s="222" t="s">
        <v>7</v>
      </c>
      <c r="B18" s="1000">
        <f>SUM(G13:N13)</f>
        <v>0</v>
      </c>
      <c r="C18" s="1000"/>
      <c r="D18" s="1000"/>
      <c r="E18" s="1000"/>
      <c r="G18" s="238"/>
      <c r="H18" s="237"/>
      <c r="I18" s="234"/>
      <c r="J18" s="239"/>
    </row>
    <row r="19" spans="1:12" ht="30" customHeight="1" x14ac:dyDescent="0.25">
      <c r="A19" s="99" t="s">
        <v>307</v>
      </c>
      <c r="B19" s="1039">
        <f>SUM(G11:N11)*10</f>
        <v>0</v>
      </c>
      <c r="C19" s="1040"/>
      <c r="D19" s="1040"/>
      <c r="E19" s="1040"/>
      <c r="F19" s="33"/>
      <c r="G19" s="240"/>
      <c r="H19" s="237"/>
      <c r="I19" s="234"/>
      <c r="J19" s="239"/>
    </row>
    <row r="20" spans="1:12" ht="30" customHeight="1" x14ac:dyDescent="0.25">
      <c r="A20" s="96" t="s">
        <v>306</v>
      </c>
      <c r="B20" s="1072">
        <f>SUM(G11:N11)*10</f>
        <v>0</v>
      </c>
      <c r="C20" s="1073"/>
      <c r="D20" s="1073"/>
      <c r="E20" s="1074"/>
      <c r="G20" s="238"/>
      <c r="H20" s="237"/>
      <c r="I20" s="234"/>
      <c r="J20" s="239"/>
    </row>
    <row r="21" spans="1:12" ht="30" customHeight="1" x14ac:dyDescent="0.25">
      <c r="A21" s="222" t="s">
        <v>8</v>
      </c>
      <c r="B21" s="1000">
        <f>B20/10*O9-B20*Q9</f>
        <v>0</v>
      </c>
      <c r="C21" s="1000"/>
      <c r="D21" s="1000"/>
      <c r="E21" s="1000"/>
      <c r="G21" s="238"/>
      <c r="H21" s="237"/>
      <c r="I21" s="234"/>
      <c r="J21" s="239"/>
    </row>
    <row r="22" spans="1:12" ht="30" customHeight="1" x14ac:dyDescent="0.25">
      <c r="A22" s="222" t="s">
        <v>9</v>
      </c>
      <c r="B22" s="1000">
        <f>B20/1000*L11*4</f>
        <v>0</v>
      </c>
      <c r="C22" s="1000"/>
      <c r="D22" s="1000"/>
      <c r="E22" s="1000"/>
      <c r="G22" s="238"/>
      <c r="H22" s="237"/>
      <c r="I22" s="234"/>
      <c r="J22" s="239"/>
    </row>
    <row r="23" spans="1:12" ht="30" customHeight="1" x14ac:dyDescent="0.25">
      <c r="A23" s="222" t="s">
        <v>301</v>
      </c>
      <c r="B23" s="1016" t="e">
        <f>B17/(B21+B22)</f>
        <v>#DIV/0!</v>
      </c>
      <c r="C23" s="1016"/>
      <c r="D23" s="1016"/>
      <c r="E23" s="1016"/>
      <c r="G23" s="238"/>
      <c r="H23" s="237"/>
      <c r="I23" s="234"/>
      <c r="J23" s="239"/>
    </row>
    <row r="24" spans="1:12" ht="30" customHeight="1" x14ac:dyDescent="0.25">
      <c r="A24" s="222" t="s">
        <v>302</v>
      </c>
      <c r="B24" s="1017" t="e">
        <f>(B17-B18)/(B21+B22)</f>
        <v>#DIV/0!</v>
      </c>
      <c r="C24" s="1017"/>
      <c r="D24" s="1017"/>
      <c r="E24" s="1017"/>
      <c r="G24" s="238"/>
      <c r="H24" s="237"/>
      <c r="I24" s="234"/>
      <c r="J24" s="239"/>
    </row>
    <row r="25" spans="1:12" ht="30" customHeight="1" x14ac:dyDescent="0.25">
      <c r="A25" s="100" t="s">
        <v>305</v>
      </c>
      <c r="B25" s="1070">
        <f>B19/1000*Q11</f>
        <v>0</v>
      </c>
      <c r="C25" s="1070"/>
      <c r="D25" s="1070"/>
      <c r="E25" s="1070"/>
      <c r="G25" s="238"/>
      <c r="H25" s="237"/>
      <c r="I25" s="234"/>
      <c r="J25" s="239"/>
    </row>
    <row r="26" spans="1:12" ht="30" customHeight="1" x14ac:dyDescent="0.25">
      <c r="A26" s="101" t="s">
        <v>303</v>
      </c>
      <c r="B26" s="1071">
        <f>B25/'Objectifs CO2'!C6</f>
        <v>0</v>
      </c>
      <c r="C26" s="1071"/>
      <c r="D26" s="1071"/>
      <c r="E26" s="1071"/>
      <c r="G26" s="238"/>
      <c r="H26" s="237"/>
      <c r="I26" s="234"/>
      <c r="J26" s="239"/>
    </row>
    <row r="27" spans="1:12" ht="30" customHeight="1" x14ac:dyDescent="0.25">
      <c r="A27" s="101" t="s">
        <v>304</v>
      </c>
      <c r="B27" s="1056">
        <f>B25/'Objectifs CO2'!C4</f>
        <v>0</v>
      </c>
      <c r="C27" s="1057"/>
      <c r="D27" s="1057"/>
      <c r="E27" s="1057"/>
      <c r="G27" s="241"/>
      <c r="H27" s="237"/>
      <c r="I27" s="234"/>
      <c r="J27" s="239"/>
    </row>
    <row r="28" spans="1:12" ht="30" customHeight="1" x14ac:dyDescent="0.25">
      <c r="A28" s="101" t="s">
        <v>22</v>
      </c>
      <c r="B28" s="999" t="s">
        <v>10</v>
      </c>
      <c r="C28" s="999"/>
      <c r="D28" s="999"/>
      <c r="E28" s="999"/>
      <c r="G28" s="242"/>
      <c r="H28" s="234"/>
      <c r="I28" s="234"/>
      <c r="J28" s="239"/>
    </row>
    <row r="29" spans="1:12" ht="30" customHeight="1" x14ac:dyDescent="0.25">
      <c r="A29" s="101" t="s">
        <v>257</v>
      </c>
      <c r="B29" s="999"/>
      <c r="C29" s="999"/>
      <c r="D29" s="999"/>
      <c r="E29" s="999"/>
      <c r="G29" s="242"/>
      <c r="H29" s="234"/>
      <c r="I29" s="234"/>
      <c r="J29" s="239"/>
    </row>
    <row r="30" spans="1:12" ht="15.75" thickBot="1" x14ac:dyDescent="0.3">
      <c r="G30" s="243"/>
      <c r="H30" s="244"/>
      <c r="I30" s="244"/>
      <c r="J30" s="245"/>
    </row>
    <row r="31" spans="1:12" ht="15.75" thickTop="1" x14ac:dyDescent="0.25">
      <c r="A31" s="603" t="s">
        <v>1065</v>
      </c>
      <c r="B31" s="1003" t="s">
        <v>675</v>
      </c>
      <c r="C31" s="1003"/>
      <c r="D31" s="1003"/>
      <c r="E31" s="56" t="s">
        <v>676</v>
      </c>
      <c r="J31" s="231"/>
      <c r="K31" s="231"/>
      <c r="L31" s="231"/>
    </row>
    <row r="32" spans="1:12" x14ac:dyDescent="0.25">
      <c r="A32" s="377"/>
      <c r="B32" s="992" t="s">
        <v>677</v>
      </c>
      <c r="C32" s="992"/>
      <c r="D32" s="992"/>
      <c r="E32" s="374"/>
      <c r="G32" s="1004" t="s">
        <v>676</v>
      </c>
      <c r="H32" s="1004"/>
      <c r="I32" s="1004"/>
      <c r="J32" s="231"/>
      <c r="K32" s="231"/>
      <c r="L32" s="231"/>
    </row>
    <row r="33" spans="1:23" x14ac:dyDescent="0.25">
      <c r="A33" s="377"/>
      <c r="B33" s="992" t="s">
        <v>678</v>
      </c>
      <c r="C33" s="992"/>
      <c r="D33" s="992"/>
      <c r="E33" s="374"/>
      <c r="G33" s="375">
        <v>3</v>
      </c>
      <c r="H33" s="1004" t="s">
        <v>679</v>
      </c>
      <c r="I33" s="1004"/>
    </row>
    <row r="34" spans="1:23" x14ac:dyDescent="0.25">
      <c r="A34" s="377"/>
      <c r="B34" s="992" t="s">
        <v>680</v>
      </c>
      <c r="C34" s="992"/>
      <c r="D34" s="992"/>
      <c r="E34" s="374"/>
      <c r="G34" s="375">
        <v>2</v>
      </c>
      <c r="H34" s="1004" t="s">
        <v>681</v>
      </c>
      <c r="I34" s="1004"/>
    </row>
    <row r="35" spans="1:23" x14ac:dyDescent="0.25">
      <c r="A35" s="377"/>
      <c r="B35" s="992" t="s">
        <v>682</v>
      </c>
      <c r="C35" s="992"/>
      <c r="D35" s="992"/>
      <c r="E35" s="374"/>
      <c r="G35" s="375">
        <v>1</v>
      </c>
      <c r="H35" s="1004" t="s">
        <v>683</v>
      </c>
      <c r="I35" s="1004"/>
    </row>
    <row r="36" spans="1:23" x14ac:dyDescent="0.25">
      <c r="A36" s="377"/>
      <c r="B36" s="992" t="s">
        <v>684</v>
      </c>
      <c r="C36" s="992"/>
      <c r="D36" s="992"/>
      <c r="E36" s="374"/>
      <c r="O36" s="227" t="s">
        <v>508</v>
      </c>
      <c r="P36" s="228"/>
      <c r="T36" s="227" t="s">
        <v>510</v>
      </c>
      <c r="V36" s="227" t="s">
        <v>898</v>
      </c>
      <c r="W36" s="228"/>
    </row>
    <row r="37" spans="1:23" x14ac:dyDescent="0.25">
      <c r="A37" s="377"/>
      <c r="B37" s="992" t="s">
        <v>685</v>
      </c>
      <c r="C37" s="992"/>
      <c r="D37" s="992"/>
      <c r="E37" s="374"/>
      <c r="O37" s="230" t="s">
        <v>515</v>
      </c>
      <c r="P37" s="230">
        <v>67</v>
      </c>
      <c r="Q37" s="231"/>
      <c r="R37" s="231"/>
      <c r="S37" s="231"/>
      <c r="T37" s="229"/>
      <c r="U37" s="231"/>
      <c r="V37" s="229"/>
      <c r="W37" s="230"/>
    </row>
    <row r="38" spans="1:23" x14ac:dyDescent="0.25">
      <c r="A38" s="377"/>
      <c r="B38" s="992" t="s">
        <v>686</v>
      </c>
      <c r="C38" s="992"/>
      <c r="D38" s="992"/>
      <c r="E38" s="374"/>
      <c r="O38" s="230" t="s">
        <v>516</v>
      </c>
      <c r="P38" s="230">
        <v>85</v>
      </c>
      <c r="Q38" s="231"/>
      <c r="R38" s="231"/>
      <c r="S38" s="231"/>
      <c r="T38" s="229"/>
      <c r="U38" s="231"/>
      <c r="V38" s="229"/>
      <c r="W38" s="230"/>
    </row>
    <row r="39" spans="1:23" x14ac:dyDescent="0.25">
      <c r="A39" s="377"/>
      <c r="B39" s="992" t="s">
        <v>687</v>
      </c>
      <c r="C39" s="992"/>
      <c r="D39" s="992"/>
      <c r="E39" s="374"/>
      <c r="O39" s="232"/>
      <c r="P39" s="232"/>
      <c r="Q39" s="231"/>
      <c r="R39" s="231"/>
      <c r="S39" s="231"/>
      <c r="T39" s="232"/>
      <c r="U39" s="231"/>
      <c r="V39" s="229"/>
      <c r="W39" s="230"/>
    </row>
    <row r="40" spans="1:23" x14ac:dyDescent="0.25">
      <c r="A40" s="377"/>
      <c r="B40" s="992" t="s">
        <v>688</v>
      </c>
      <c r="C40" s="992"/>
      <c r="D40" s="992"/>
      <c r="E40" s="374"/>
      <c r="G40" s="1005" t="s">
        <v>689</v>
      </c>
      <c r="H40" s="1005"/>
      <c r="I40" s="1005"/>
      <c r="O40" s="232"/>
      <c r="P40" s="232"/>
      <c r="Q40" s="231"/>
      <c r="R40" s="231"/>
      <c r="S40" s="231"/>
      <c r="T40" s="232"/>
      <c r="U40" s="231"/>
      <c r="V40" s="229"/>
      <c r="W40" s="230"/>
    </row>
    <row r="41" spans="1:23" x14ac:dyDescent="0.25">
      <c r="A41" s="377"/>
      <c r="B41" s="992" t="s">
        <v>843</v>
      </c>
      <c r="C41" s="992"/>
      <c r="D41" s="992"/>
      <c r="E41" s="374"/>
      <c r="G41" s="377" t="s">
        <v>690</v>
      </c>
      <c r="H41" s="378" t="s">
        <v>691</v>
      </c>
      <c r="I41" s="377" t="s">
        <v>692</v>
      </c>
      <c r="O41" s="232"/>
      <c r="P41" s="232"/>
      <c r="Q41" s="231"/>
      <c r="R41" s="231"/>
      <c r="S41" s="231"/>
      <c r="T41" s="232"/>
      <c r="U41" s="231"/>
      <c r="V41" s="233"/>
      <c r="W41" s="232"/>
    </row>
    <row r="42" spans="1:23" x14ac:dyDescent="0.25">
      <c r="A42" s="377"/>
      <c r="B42" s="988" t="s">
        <v>247</v>
      </c>
      <c r="C42" s="988"/>
      <c r="D42" s="988"/>
      <c r="E42" s="376">
        <f>SUM(E32:E40)</f>
        <v>0</v>
      </c>
      <c r="G42" s="377" t="s">
        <v>693</v>
      </c>
      <c r="H42" s="377" t="s">
        <v>694</v>
      </c>
      <c r="I42" s="377" t="s">
        <v>695</v>
      </c>
      <c r="O42" s="232"/>
      <c r="P42" s="232"/>
      <c r="Q42" s="231"/>
      <c r="R42" s="231"/>
      <c r="S42" s="231"/>
      <c r="T42" s="232"/>
      <c r="U42" s="231"/>
      <c r="V42" s="233"/>
      <c r="W42" s="232"/>
    </row>
    <row r="43" spans="1:23" x14ac:dyDescent="0.25">
      <c r="A43" s="497"/>
      <c r="E43" s="94" t="s">
        <v>730</v>
      </c>
      <c r="O43" s="234"/>
      <c r="P43" s="234"/>
      <c r="Q43" s="231"/>
      <c r="R43" s="231"/>
      <c r="S43" s="231"/>
      <c r="T43" s="234"/>
      <c r="U43" s="231"/>
      <c r="V43" s="235"/>
      <c r="W43" s="234"/>
    </row>
    <row r="44" spans="1:23" x14ac:dyDescent="0.25">
      <c r="A44" s="497"/>
      <c r="B44" s="989" t="s">
        <v>696</v>
      </c>
      <c r="C44" s="990"/>
      <c r="D44" s="991"/>
      <c r="E44" s="267">
        <v>1</v>
      </c>
      <c r="G44" s="377">
        <v>1</v>
      </c>
      <c r="H44" s="377" t="s">
        <v>697</v>
      </c>
      <c r="O44" s="234"/>
      <c r="P44" s="234"/>
      <c r="Q44" s="231"/>
      <c r="R44" s="231"/>
      <c r="S44" s="231"/>
      <c r="T44" s="234"/>
      <c r="U44" s="231"/>
      <c r="V44" s="235"/>
      <c r="W44" s="234"/>
    </row>
    <row r="45" spans="1:23" x14ac:dyDescent="0.25">
      <c r="G45" s="377">
        <v>0</v>
      </c>
      <c r="H45" s="377" t="s">
        <v>698</v>
      </c>
      <c r="O45" s="234"/>
      <c r="P45" s="234"/>
      <c r="Q45" s="231"/>
      <c r="R45" s="231"/>
      <c r="S45" s="231"/>
      <c r="T45" s="234"/>
      <c r="U45" s="231"/>
      <c r="V45" s="235"/>
      <c r="W45" s="234"/>
    </row>
    <row r="46" spans="1:23" x14ac:dyDescent="0.25">
      <c r="G46" s="1022" t="s">
        <v>965</v>
      </c>
      <c r="H46" s="1022"/>
      <c r="I46" s="1022"/>
      <c r="J46" s="1022"/>
      <c r="K46" s="1022"/>
      <c r="L46" s="1022"/>
      <c r="O46" s="234"/>
      <c r="P46" s="234"/>
      <c r="Q46" s="231"/>
      <c r="R46" s="231"/>
      <c r="S46" s="231"/>
      <c r="T46" s="234"/>
      <c r="U46" s="231"/>
      <c r="V46" s="235"/>
      <c r="W46" s="234"/>
    </row>
    <row r="47" spans="1:23" x14ac:dyDescent="0.25">
      <c r="A47" s="959" t="s">
        <v>966</v>
      </c>
      <c r="B47" s="1022"/>
      <c r="C47" s="1022"/>
      <c r="D47" s="1022"/>
      <c r="E47" s="1022"/>
      <c r="F47" s="1022"/>
      <c r="G47" s="1022"/>
      <c r="H47" s="1022"/>
      <c r="I47" s="1022"/>
      <c r="J47" s="1022"/>
      <c r="K47" s="1022"/>
      <c r="L47" s="1022"/>
      <c r="O47" s="234"/>
      <c r="P47" s="234"/>
      <c r="Q47" s="231"/>
      <c r="R47" s="231"/>
      <c r="S47" s="231"/>
      <c r="T47" s="234"/>
      <c r="U47" s="231"/>
      <c r="V47" s="235"/>
      <c r="W47" s="234"/>
    </row>
    <row r="48" spans="1:23" x14ac:dyDescent="0.25">
      <c r="A48" s="959"/>
      <c r="B48" s="1022"/>
      <c r="C48" s="1022"/>
      <c r="D48" s="1022"/>
      <c r="E48" s="1022"/>
      <c r="F48" s="1022"/>
      <c r="G48" s="1022"/>
      <c r="H48" s="1022"/>
      <c r="I48" s="1022"/>
      <c r="J48" s="1022"/>
      <c r="K48" s="1022"/>
      <c r="L48" s="1022"/>
      <c r="O48" s="234"/>
      <c r="P48" s="234"/>
      <c r="Q48" s="231"/>
      <c r="R48" s="231"/>
      <c r="S48" s="231"/>
      <c r="T48" s="234"/>
      <c r="U48" s="231"/>
      <c r="V48" s="235"/>
      <c r="W48" s="234"/>
    </row>
    <row r="49" spans="1:23" x14ac:dyDescent="0.25">
      <c r="A49" s="959"/>
      <c r="B49" s="1022"/>
      <c r="C49" s="1022"/>
      <c r="D49" s="1022"/>
      <c r="E49" s="1022"/>
      <c r="F49" s="1022"/>
      <c r="G49" s="1022"/>
      <c r="H49" s="1022"/>
      <c r="I49" s="1022"/>
      <c r="J49" s="1022"/>
      <c r="K49" s="1022"/>
      <c r="L49" s="1022"/>
      <c r="O49" s="234"/>
      <c r="P49" s="234"/>
      <c r="Q49" s="231"/>
      <c r="R49" s="231"/>
      <c r="S49" s="231"/>
      <c r="T49" s="234"/>
      <c r="U49" s="231"/>
      <c r="V49" s="235"/>
      <c r="W49" s="234"/>
    </row>
    <row r="50" spans="1:23" x14ac:dyDescent="0.25">
      <c r="A50" s="959"/>
      <c r="B50" s="1022"/>
      <c r="C50" s="1022"/>
      <c r="D50" s="1022"/>
      <c r="E50" s="1022"/>
      <c r="F50" s="1022"/>
      <c r="G50" s="1022"/>
      <c r="H50" s="1022"/>
      <c r="I50" s="1022"/>
      <c r="J50" s="1022"/>
      <c r="K50" s="1022"/>
      <c r="L50" s="1022"/>
      <c r="O50" s="234"/>
      <c r="P50" s="234"/>
      <c r="Q50" s="231"/>
      <c r="R50" s="231"/>
      <c r="S50" s="231"/>
      <c r="T50" s="234"/>
      <c r="U50" s="231"/>
      <c r="V50" s="235"/>
      <c r="W50" s="234"/>
    </row>
    <row r="51" spans="1:23" x14ac:dyDescent="0.25">
      <c r="A51" s="959"/>
      <c r="B51" s="1022"/>
      <c r="C51" s="1022"/>
      <c r="D51" s="1022"/>
      <c r="E51" s="1022"/>
      <c r="F51" s="1022"/>
      <c r="G51" s="1022"/>
      <c r="H51" s="1022"/>
      <c r="I51" s="1022"/>
      <c r="J51" s="1022"/>
      <c r="K51" s="1022"/>
      <c r="L51" s="1022"/>
      <c r="O51" s="234"/>
      <c r="P51" s="234"/>
      <c r="Q51" s="231"/>
      <c r="R51" s="231"/>
      <c r="S51" s="231"/>
      <c r="T51" s="234"/>
      <c r="U51" s="231"/>
      <c r="V51" s="235"/>
      <c r="W51" s="234"/>
    </row>
    <row r="52" spans="1:23" x14ac:dyDescent="0.25">
      <c r="A52" s="959" t="s">
        <v>967</v>
      </c>
      <c r="B52" s="1022"/>
      <c r="C52" s="1022"/>
      <c r="D52" s="1022"/>
      <c r="E52" s="1022"/>
      <c r="F52" s="1022"/>
      <c r="G52" s="1022"/>
      <c r="H52" s="1022"/>
      <c r="I52" s="1022"/>
      <c r="J52" s="1022"/>
      <c r="K52" s="1022"/>
      <c r="L52" s="1022"/>
    </row>
    <row r="53" spans="1:23" x14ac:dyDescent="0.25">
      <c r="A53" s="959"/>
      <c r="B53" s="1022"/>
      <c r="C53" s="1022"/>
      <c r="D53" s="1022"/>
      <c r="E53" s="1022"/>
      <c r="F53" s="1022"/>
      <c r="G53" s="1022"/>
      <c r="H53" s="1022"/>
      <c r="I53" s="1022"/>
      <c r="J53" s="1022"/>
      <c r="K53" s="1022"/>
      <c r="L53" s="1022"/>
    </row>
    <row r="54" spans="1:23" x14ac:dyDescent="0.25">
      <c r="A54" s="959"/>
      <c r="B54" s="1022"/>
      <c r="C54" s="1022"/>
      <c r="D54" s="1022"/>
      <c r="E54" s="1022"/>
      <c r="F54" s="1022"/>
      <c r="G54" s="1022"/>
      <c r="H54" s="1022"/>
      <c r="I54" s="1022"/>
      <c r="J54" s="1022"/>
      <c r="K54" s="1022"/>
      <c r="L54" s="1022"/>
    </row>
    <row r="55" spans="1:23" x14ac:dyDescent="0.25">
      <c r="A55" s="959"/>
      <c r="B55" s="1022"/>
      <c r="C55" s="1022"/>
      <c r="D55" s="1022"/>
      <c r="E55" s="1022"/>
      <c r="F55" s="1022"/>
      <c r="G55" s="1022"/>
      <c r="H55" s="1022"/>
      <c r="I55" s="1022"/>
      <c r="J55" s="1022"/>
      <c r="K55" s="1022"/>
      <c r="L55" s="1022"/>
    </row>
    <row r="56" spans="1:23" x14ac:dyDescent="0.25">
      <c r="A56" s="959"/>
      <c r="B56" s="1022"/>
      <c r="C56" s="1022"/>
      <c r="D56" s="1022"/>
      <c r="E56" s="1022"/>
      <c r="F56" s="1022"/>
      <c r="G56" s="1022"/>
      <c r="H56" s="1022"/>
      <c r="I56" s="1022"/>
      <c r="J56" s="1022"/>
      <c r="K56" s="1022"/>
      <c r="L56" s="1022"/>
    </row>
    <row r="57" spans="1:23" x14ac:dyDescent="0.25">
      <c r="A57" s="959"/>
      <c r="B57" s="1022"/>
      <c r="C57" s="1022"/>
      <c r="D57" s="1022"/>
      <c r="E57" s="1022"/>
      <c r="F57" s="1022"/>
      <c r="G57" s="1022"/>
      <c r="H57" s="1022"/>
      <c r="I57" s="1022"/>
      <c r="J57" s="1022"/>
      <c r="K57" s="1022"/>
      <c r="L57" s="1022"/>
    </row>
    <row r="58" spans="1:23" x14ac:dyDescent="0.25">
      <c r="A58" s="959"/>
      <c r="B58" s="1022"/>
      <c r="C58" s="1022"/>
      <c r="D58" s="1022"/>
      <c r="E58" s="1022"/>
      <c r="F58" s="1022"/>
      <c r="G58" s="1022"/>
      <c r="H58" s="1022"/>
      <c r="I58" s="1022"/>
      <c r="J58" s="1022"/>
      <c r="K58" s="1022"/>
      <c r="L58" s="1022"/>
    </row>
    <row r="59" spans="1:23" x14ac:dyDescent="0.25">
      <c r="A59" s="959"/>
      <c r="B59" s="1022"/>
      <c r="C59" s="1022"/>
      <c r="D59" s="1022"/>
      <c r="E59" s="1022"/>
      <c r="F59" s="1022"/>
      <c r="G59" s="1022"/>
      <c r="H59" s="1022"/>
      <c r="I59" s="1022"/>
      <c r="J59" s="1022"/>
      <c r="K59" s="1022"/>
      <c r="L59" s="1022"/>
    </row>
    <row r="60" spans="1:23" x14ac:dyDescent="0.25">
      <c r="A60" s="959"/>
      <c r="B60" s="1022"/>
      <c r="C60" s="1022"/>
      <c r="D60" s="1022"/>
      <c r="E60" s="1022"/>
      <c r="F60" s="1022"/>
      <c r="G60" s="1022"/>
      <c r="H60" s="1022"/>
      <c r="I60" s="1022"/>
      <c r="J60" s="1022"/>
      <c r="K60" s="1022"/>
      <c r="L60" s="1022"/>
    </row>
    <row r="61" spans="1:23" x14ac:dyDescent="0.25">
      <c r="A61" s="959"/>
      <c r="B61" s="1022"/>
      <c r="C61" s="1022"/>
      <c r="D61" s="1022"/>
      <c r="E61" s="1022"/>
      <c r="F61" s="1022"/>
      <c r="G61" s="1022"/>
      <c r="H61" s="1022"/>
      <c r="I61" s="1022"/>
      <c r="J61" s="1022"/>
      <c r="K61" s="1022"/>
      <c r="L61" s="1022"/>
    </row>
    <row r="62" spans="1:23" x14ac:dyDescent="0.25">
      <c r="A62" s="959"/>
      <c r="B62" s="1022"/>
      <c r="C62" s="1022"/>
      <c r="D62" s="1022"/>
      <c r="E62" s="1022"/>
      <c r="F62" s="1022"/>
      <c r="G62" s="1022"/>
      <c r="H62" s="1022"/>
      <c r="I62" s="1022"/>
      <c r="J62" s="1022"/>
      <c r="K62" s="1022"/>
      <c r="L62" s="1022"/>
    </row>
    <row r="63" spans="1:23" x14ac:dyDescent="0.25">
      <c r="A63" s="959" t="s">
        <v>968</v>
      </c>
      <c r="B63" s="1022"/>
      <c r="C63" s="1022"/>
      <c r="D63" s="1022"/>
      <c r="E63" s="1022"/>
      <c r="F63" s="1022"/>
      <c r="G63" s="1022"/>
      <c r="H63" s="1022"/>
      <c r="I63" s="1022"/>
      <c r="J63" s="1022"/>
      <c r="K63" s="1022"/>
      <c r="L63" s="1022"/>
    </row>
    <row r="64" spans="1:23"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B42:D42"/>
    <mergeCell ref="B44:D44"/>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G32:I32"/>
    <mergeCell ref="B33:D33"/>
    <mergeCell ref="H33:I33"/>
    <mergeCell ref="G40:I40"/>
    <mergeCell ref="B34:D34"/>
    <mergeCell ref="H34:I34"/>
    <mergeCell ref="B35:D35"/>
    <mergeCell ref="H35:I35"/>
    <mergeCell ref="B36:D36"/>
    <mergeCell ref="B37:D37"/>
    <mergeCell ref="B38:D38"/>
    <mergeCell ref="B39:D39"/>
    <mergeCell ref="B40:D40"/>
    <mergeCell ref="A47:A51"/>
    <mergeCell ref="B47:F47"/>
    <mergeCell ref="G47:L47"/>
    <mergeCell ref="B48:F48"/>
    <mergeCell ref="G48:L48"/>
    <mergeCell ref="B49:F49"/>
    <mergeCell ref="G49:L49"/>
    <mergeCell ref="B50:F50"/>
    <mergeCell ref="G50:L50"/>
    <mergeCell ref="B51:F51"/>
    <mergeCell ref="G51:L51"/>
    <mergeCell ref="G8:G10"/>
    <mergeCell ref="G15:J15"/>
    <mergeCell ref="B11:E11"/>
    <mergeCell ref="B12:E12"/>
    <mergeCell ref="B13:E13"/>
    <mergeCell ref="B14:E14"/>
    <mergeCell ref="B15:E15"/>
    <mergeCell ref="B9:E9"/>
    <mergeCell ref="B16:E16"/>
    <mergeCell ref="AF5:AH5"/>
    <mergeCell ref="AF6:AG6"/>
    <mergeCell ref="AF8:AG8"/>
    <mergeCell ref="AF9:AG9"/>
    <mergeCell ref="AF10:AG10"/>
    <mergeCell ref="AF11:AG11"/>
    <mergeCell ref="AF12:AG12"/>
    <mergeCell ref="AF13:AG13"/>
    <mergeCell ref="AF14:AG14"/>
    <mergeCell ref="B41:D41"/>
    <mergeCell ref="A1:E1"/>
    <mergeCell ref="B2:E2"/>
    <mergeCell ref="B32:D32"/>
    <mergeCell ref="B31:D31"/>
    <mergeCell ref="B28:E28"/>
    <mergeCell ref="B29:E29"/>
    <mergeCell ref="B22:E22"/>
    <mergeCell ref="B23:E23"/>
    <mergeCell ref="B24:E24"/>
    <mergeCell ref="B25:E25"/>
    <mergeCell ref="B26:E26"/>
    <mergeCell ref="B27:E27"/>
    <mergeCell ref="B19:E19"/>
    <mergeCell ref="B20:E20"/>
    <mergeCell ref="B21:E21"/>
    <mergeCell ref="B10:E10"/>
    <mergeCell ref="B8:E8"/>
    <mergeCell ref="B17:E17"/>
    <mergeCell ref="B18:E18"/>
    <mergeCell ref="G2:H2"/>
    <mergeCell ref="B3:E3"/>
    <mergeCell ref="G3:H3"/>
    <mergeCell ref="B4:E4"/>
    <mergeCell ref="B5:E5"/>
    <mergeCell ref="B6:E6"/>
    <mergeCell ref="B7:E7"/>
    <mergeCell ref="G7:H7"/>
    <mergeCell ref="G4:H4"/>
    <mergeCell ref="G5:H5"/>
    <mergeCell ref="G6:H6"/>
  </mergeCells>
  <conditionalFormatting sqref="B5">
    <cfRule type="containsText" dxfId="266" priority="1" operator="containsText" text="Terminé">
      <formula>NOT(ISERROR(SEARCH("Terminé",B5)))</formula>
    </cfRule>
    <cfRule type="containsText" dxfId="265" priority="2" operator="containsText" text="En cours">
      <formula>NOT(ISERROR(SEARCH("En cours",B5)))</formula>
    </cfRule>
    <cfRule type="containsText" dxfId="26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3" zoomScaleNormal="100" workbookViewId="0">
      <selection activeCell="B8" sqref="B8:E8"/>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75</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17</v>
      </c>
      <c r="C5" s="1015"/>
      <c r="D5" s="1015"/>
      <c r="E5" s="1015"/>
      <c r="F5" s="7"/>
      <c r="G5" s="986" t="s">
        <v>754</v>
      </c>
      <c r="H5" s="986"/>
      <c r="K5" s="9"/>
      <c r="L5" s="9"/>
      <c r="M5" s="9"/>
      <c r="N5" s="9"/>
      <c r="Z5" s="1023" t="s">
        <v>609</v>
      </c>
      <c r="AA5" s="1024"/>
      <c r="AB5" s="1025"/>
    </row>
    <row r="6" spans="1:28" ht="19.5" customHeight="1" x14ac:dyDescent="0.25">
      <c r="A6" s="413" t="s">
        <v>474</v>
      </c>
      <c r="B6" s="993" t="s">
        <v>424</v>
      </c>
      <c r="C6" s="993"/>
      <c r="D6" s="993"/>
      <c r="E6" s="993"/>
      <c r="F6" s="7"/>
      <c r="G6" s="986" t="s">
        <v>755</v>
      </c>
      <c r="H6" s="986"/>
      <c r="K6" s="9"/>
      <c r="L6" s="9"/>
      <c r="M6" s="9"/>
      <c r="N6" s="9"/>
      <c r="Z6" s="1026"/>
      <c r="AA6" s="1027"/>
      <c r="AB6" s="357" t="s">
        <v>610</v>
      </c>
    </row>
    <row r="7" spans="1:28" ht="19.5" customHeight="1" x14ac:dyDescent="0.25">
      <c r="A7" s="253" t="s">
        <v>475</v>
      </c>
      <c r="B7" s="994" t="s">
        <v>426</v>
      </c>
      <c r="C7" s="994"/>
      <c r="D7" s="994"/>
      <c r="E7" s="994"/>
      <c r="F7" s="7"/>
      <c r="G7" s="995" t="s">
        <v>756</v>
      </c>
      <c r="H7" s="995"/>
      <c r="I7" s="400"/>
      <c r="J7" s="400"/>
      <c r="K7" s="9"/>
      <c r="L7" s="9"/>
      <c r="M7" s="9"/>
      <c r="N7" s="9"/>
      <c r="Z7" s="401"/>
      <c r="AA7" s="402"/>
      <c r="AB7" s="357"/>
    </row>
    <row r="8" spans="1:28" ht="24" customHeight="1" x14ac:dyDescent="0.25">
      <c r="A8" s="193" t="s">
        <v>1</v>
      </c>
      <c r="B8" s="967" t="s">
        <v>1295</v>
      </c>
      <c r="C8" s="967"/>
      <c r="D8" s="967"/>
      <c r="E8" s="967"/>
      <c r="F8" s="9"/>
      <c r="G8" s="997" t="s">
        <v>936</v>
      </c>
      <c r="H8" s="67"/>
      <c r="I8" s="9"/>
      <c r="J8" s="9"/>
      <c r="K8" s="9"/>
      <c r="L8" s="9"/>
      <c r="N8" s="9"/>
      <c r="O8" s="9"/>
      <c r="Z8" s="1028" t="s">
        <v>611</v>
      </c>
      <c r="AA8" s="1029"/>
      <c r="AB8" s="357">
        <v>0.26819999999999999</v>
      </c>
    </row>
    <row r="9" spans="1:28" ht="24" customHeight="1" x14ac:dyDescent="0.25">
      <c r="A9" s="193" t="s">
        <v>0</v>
      </c>
      <c r="B9" s="996" t="s">
        <v>1087</v>
      </c>
      <c r="C9" s="996"/>
      <c r="D9" s="996"/>
      <c r="E9" s="996"/>
      <c r="F9" s="9"/>
      <c r="G9" s="997"/>
      <c r="H9" s="67"/>
      <c r="I9" s="9"/>
      <c r="J9" s="9"/>
      <c r="K9" s="9"/>
      <c r="L9" s="9"/>
      <c r="N9" s="9"/>
      <c r="O9" s="9"/>
      <c r="Z9" s="1028" t="s">
        <v>612</v>
      </c>
      <c r="AA9" s="1029"/>
      <c r="AB9" s="357">
        <v>3.1300000000000001E-2</v>
      </c>
    </row>
    <row r="10" spans="1:28" ht="45" customHeight="1" x14ac:dyDescent="0.25">
      <c r="A10" s="102" t="s">
        <v>2</v>
      </c>
      <c r="B10" s="1008" t="s">
        <v>1106</v>
      </c>
      <c r="C10" s="1008"/>
      <c r="D10" s="1008"/>
      <c r="E10" s="1008"/>
      <c r="F10" s="9"/>
      <c r="G10" s="997"/>
      <c r="H10" s="67"/>
      <c r="I10" s="9"/>
      <c r="J10" s="9"/>
      <c r="K10" s="9"/>
      <c r="L10" s="9"/>
      <c r="M10" s="7"/>
      <c r="N10" s="255" t="s">
        <v>149</v>
      </c>
      <c r="O10" s="255" t="s">
        <v>152</v>
      </c>
      <c r="P10" s="57" t="s">
        <v>150</v>
      </c>
      <c r="Q10" s="57" t="s">
        <v>534</v>
      </c>
      <c r="S10" s="261">
        <f>H14</f>
        <v>46882.329252344512</v>
      </c>
      <c r="T10" s="89">
        <f>P11</f>
        <v>0.26819999999999999</v>
      </c>
      <c r="U10" s="89"/>
      <c r="V10" s="1022"/>
      <c r="Z10" s="1028"/>
      <c r="AA10" s="1029"/>
      <c r="AB10" s="357"/>
    </row>
    <row r="11" spans="1:28" ht="39" customHeight="1" x14ac:dyDescent="0.25">
      <c r="A11" s="102" t="s">
        <v>29</v>
      </c>
      <c r="B11" s="1008"/>
      <c r="C11" s="1008"/>
      <c r="D11" s="1008"/>
      <c r="E11" s="1008"/>
      <c r="F11" s="9"/>
      <c r="G11" s="254">
        <v>100</v>
      </c>
      <c r="H11" s="131" t="s">
        <v>533</v>
      </c>
      <c r="I11" s="9"/>
      <c r="J11" s="9"/>
      <c r="K11" s="9"/>
      <c r="L11" s="9"/>
      <c r="N11" s="252">
        <v>0.7</v>
      </c>
      <c r="O11" s="252">
        <v>0.15</v>
      </c>
      <c r="P11" s="226">
        <f>AB8</f>
        <v>0.26819999999999999</v>
      </c>
      <c r="Q11" s="57">
        <f>AB9</f>
        <v>3.1300000000000001E-2</v>
      </c>
      <c r="S11" s="261">
        <f>I14</f>
        <v>4047.431355855701</v>
      </c>
      <c r="T11" s="89">
        <f>Q11</f>
        <v>3.1300000000000001E-2</v>
      </c>
      <c r="U11" s="89"/>
      <c r="V11" s="1022"/>
      <c r="Z11" s="1028" t="s">
        <v>613</v>
      </c>
      <c r="AA11" s="1029"/>
      <c r="AB11" s="357">
        <v>0.26819999999999999</v>
      </c>
    </row>
    <row r="12" spans="1:28" ht="30" customHeight="1" x14ac:dyDescent="0.25">
      <c r="A12" s="102" t="s">
        <v>14</v>
      </c>
      <c r="B12" s="1010" t="s">
        <v>607</v>
      </c>
      <c r="C12" s="1010"/>
      <c r="D12" s="1010"/>
      <c r="E12" s="1010"/>
      <c r="G12" s="9"/>
      <c r="H12" s="67"/>
      <c r="I12" s="9"/>
      <c r="J12" s="9"/>
      <c r="K12" s="9"/>
      <c r="L12" s="9"/>
      <c r="M12" s="9"/>
      <c r="N12" s="255" t="s">
        <v>147</v>
      </c>
      <c r="O12" s="255" t="s">
        <v>148</v>
      </c>
      <c r="P12" s="57" t="s">
        <v>130</v>
      </c>
      <c r="Q12" s="251" t="s">
        <v>536</v>
      </c>
      <c r="S12" s="263">
        <f>S10+S11</f>
        <v>50929.760608200217</v>
      </c>
      <c r="T12" s="90">
        <f>U12/S12</f>
        <v>0.24937335568139635</v>
      </c>
      <c r="U12" s="89">
        <f>(S10*T10)+(S11*T11)</f>
        <v>12700.525306917081</v>
      </c>
      <c r="V12" s="1022"/>
      <c r="Z12" s="1028" t="s">
        <v>614</v>
      </c>
      <c r="AA12" s="1029"/>
      <c r="AB12" s="357">
        <v>1.18E-2</v>
      </c>
    </row>
    <row r="13" spans="1:28" ht="53.25" customHeight="1" x14ac:dyDescent="0.25">
      <c r="A13" s="102" t="s">
        <v>3</v>
      </c>
      <c r="B13" s="1010"/>
      <c r="C13" s="1010"/>
      <c r="D13" s="1010"/>
      <c r="E13" s="1010"/>
      <c r="G13" s="255" t="s">
        <v>151</v>
      </c>
      <c r="H13" s="57" t="s">
        <v>255</v>
      </c>
      <c r="I13" s="57" t="s">
        <v>256</v>
      </c>
      <c r="J13" s="257" t="s">
        <v>535</v>
      </c>
      <c r="K13" s="57" t="s">
        <v>254</v>
      </c>
      <c r="L13" s="1078"/>
      <c r="M13" s="9"/>
      <c r="N13" s="252">
        <v>75</v>
      </c>
      <c r="O13" s="252">
        <v>100</v>
      </c>
      <c r="P13" s="258">
        <f>T12</f>
        <v>0.24937335568139635</v>
      </c>
      <c r="Q13" s="251">
        <v>0.08</v>
      </c>
      <c r="Z13" s="1028" t="s">
        <v>615</v>
      </c>
      <c r="AA13" s="1029"/>
      <c r="AB13" s="358">
        <f>AB15/0.55</f>
        <v>0.50363636363636366</v>
      </c>
    </row>
    <row r="14" spans="1:28" ht="30" customHeight="1" x14ac:dyDescent="0.25">
      <c r="A14" s="102" t="s">
        <v>15</v>
      </c>
      <c r="B14" s="1010"/>
      <c r="C14" s="1010"/>
      <c r="D14" s="1010"/>
      <c r="E14" s="1010"/>
      <c r="G14" s="252">
        <v>3398</v>
      </c>
      <c r="H14" s="256">
        <f>'Objectifs CO2'!Z32</f>
        <v>46882.329252344512</v>
      </c>
      <c r="I14" s="256">
        <f>'Objectifs CO2'!AA32</f>
        <v>4047.431355855701</v>
      </c>
      <c r="J14" s="259">
        <f>(H14+I14)/G14*1000</f>
        <v>14988.157918834671</v>
      </c>
      <c r="K14" s="259">
        <f>J14*$O$11</f>
        <v>2248.2236878252006</v>
      </c>
      <c r="L14" s="1078"/>
      <c r="M14" s="9"/>
      <c r="N14" s="9"/>
      <c r="Z14" s="1028" t="s">
        <v>616</v>
      </c>
      <c r="AA14" s="1029"/>
      <c r="AB14" s="357">
        <v>0.26819999999999999</v>
      </c>
    </row>
    <row r="15" spans="1:28" ht="30" customHeight="1" x14ac:dyDescent="0.25">
      <c r="A15" s="102" t="s">
        <v>4</v>
      </c>
      <c r="B15" s="1010">
        <v>2015</v>
      </c>
      <c r="C15" s="1010"/>
      <c r="D15" s="1010"/>
      <c r="E15" s="1010"/>
      <c r="N15" s="9"/>
      <c r="Z15" s="1028" t="s">
        <v>578</v>
      </c>
      <c r="AA15" s="1029"/>
      <c r="AB15" s="357">
        <v>0.27700000000000002</v>
      </c>
    </row>
    <row r="16" spans="1:28" ht="30" customHeight="1" x14ac:dyDescent="0.25">
      <c r="A16" s="102" t="s">
        <v>5</v>
      </c>
      <c r="B16" s="1010">
        <v>2030</v>
      </c>
      <c r="C16" s="1010"/>
      <c r="D16" s="1010"/>
      <c r="E16" s="1010"/>
      <c r="N16" s="9"/>
      <c r="Z16" s="1028" t="s">
        <v>579</v>
      </c>
      <c r="AA16" s="1029"/>
      <c r="AB16" s="357">
        <v>0.20269999999999999</v>
      </c>
    </row>
    <row r="17" spans="1:14" ht="30" customHeight="1" x14ac:dyDescent="0.25">
      <c r="A17" s="102" t="s">
        <v>6</v>
      </c>
      <c r="B17" s="1012">
        <f>SUM(G11:L11)*N13*O13</f>
        <v>750000</v>
      </c>
      <c r="C17" s="1012"/>
      <c r="D17" s="1012"/>
      <c r="E17" s="1012"/>
      <c r="G17" s="9"/>
      <c r="H17" s="9"/>
      <c r="I17" s="9"/>
      <c r="J17" s="9"/>
      <c r="K17" s="9"/>
      <c r="L17" s="9"/>
      <c r="M17" s="9"/>
      <c r="N17" s="9"/>
    </row>
    <row r="18" spans="1:14" ht="30" customHeight="1" x14ac:dyDescent="0.25">
      <c r="A18" s="102" t="s">
        <v>7</v>
      </c>
      <c r="B18" s="1012">
        <f>B17*Q13</f>
        <v>60000</v>
      </c>
      <c r="C18" s="1012"/>
      <c r="D18" s="1012"/>
      <c r="E18" s="1012"/>
      <c r="G18" s="9"/>
      <c r="H18" s="9"/>
      <c r="I18" s="9"/>
      <c r="J18" s="9"/>
      <c r="K18" s="9"/>
      <c r="L18" s="9"/>
      <c r="M18" s="9"/>
    </row>
    <row r="19" spans="1:14" ht="30" customHeight="1" x14ac:dyDescent="0.25">
      <c r="A19" s="99" t="s">
        <v>307</v>
      </c>
      <c r="B19" s="1039">
        <f>G11*K14</f>
        <v>224822.36878252006</v>
      </c>
      <c r="C19" s="1040"/>
      <c r="D19" s="1040"/>
      <c r="E19" s="1040"/>
      <c r="G19" s="9"/>
      <c r="H19" s="9"/>
      <c r="I19" s="9"/>
      <c r="J19" s="9"/>
      <c r="K19" s="9"/>
      <c r="L19" s="9"/>
      <c r="M19" s="9"/>
    </row>
    <row r="20" spans="1:14" ht="30" customHeight="1" x14ac:dyDescent="0.25">
      <c r="A20" s="96" t="s">
        <v>306</v>
      </c>
      <c r="B20" s="1041"/>
      <c r="C20" s="1042"/>
      <c r="D20" s="1042"/>
      <c r="E20" s="1042"/>
      <c r="G20" s="9"/>
      <c r="H20" s="9"/>
      <c r="I20" s="9"/>
      <c r="J20" s="9"/>
      <c r="K20" s="9"/>
      <c r="L20" s="9"/>
      <c r="M20" s="9"/>
    </row>
    <row r="21" spans="1:14" ht="30" customHeight="1" x14ac:dyDescent="0.25">
      <c r="A21" s="102" t="s">
        <v>8</v>
      </c>
      <c r="B21" s="1000">
        <f>(B19*N11/10)</f>
        <v>15737.565814776404</v>
      </c>
      <c r="C21" s="1000"/>
      <c r="D21" s="1000"/>
      <c r="E21" s="1000"/>
      <c r="G21" s="9"/>
      <c r="H21" s="9"/>
      <c r="I21" s="9"/>
      <c r="J21" s="9"/>
      <c r="K21" s="9"/>
      <c r="L21" s="9"/>
      <c r="M21" s="9"/>
      <c r="N21" s="9"/>
    </row>
    <row r="22" spans="1:14" ht="30" customHeight="1" x14ac:dyDescent="0.25">
      <c r="A22" s="102" t="s">
        <v>9</v>
      </c>
      <c r="B22" s="1000"/>
      <c r="C22" s="1000"/>
      <c r="D22" s="1000"/>
      <c r="E22" s="1000"/>
      <c r="G22" s="9"/>
      <c r="H22" s="9"/>
      <c r="I22" s="9"/>
      <c r="J22" s="9"/>
      <c r="K22" s="9"/>
      <c r="L22" s="9"/>
      <c r="M22" s="9"/>
      <c r="N22" s="9"/>
    </row>
    <row r="23" spans="1:14" ht="30" customHeight="1" x14ac:dyDescent="0.25">
      <c r="A23" s="102" t="s">
        <v>301</v>
      </c>
      <c r="B23" s="1016">
        <f>B17/(B21+B22)</f>
        <v>47.65667123029953</v>
      </c>
      <c r="C23" s="1016"/>
      <c r="D23" s="1016"/>
      <c r="E23" s="1016"/>
      <c r="G23" s="9"/>
      <c r="H23" s="9"/>
      <c r="I23" s="9"/>
      <c r="J23" s="9"/>
      <c r="K23" s="9"/>
      <c r="L23" s="9"/>
      <c r="M23" s="9"/>
      <c r="N23" s="9"/>
    </row>
    <row r="24" spans="1:14" ht="30" customHeight="1" x14ac:dyDescent="0.25">
      <c r="A24" s="102" t="s">
        <v>302</v>
      </c>
      <c r="B24" s="1017">
        <f>(B17-B18)/(B21+B22)</f>
        <v>43.844137531875568</v>
      </c>
      <c r="C24" s="1017"/>
      <c r="D24" s="1017"/>
      <c r="E24" s="1017"/>
      <c r="G24" s="9"/>
      <c r="H24" s="9"/>
      <c r="I24" s="9"/>
      <c r="J24" s="9"/>
      <c r="K24" s="9"/>
      <c r="L24" s="9"/>
      <c r="M24" s="9"/>
      <c r="N24" s="9"/>
    </row>
    <row r="25" spans="1:14" ht="30" customHeight="1" x14ac:dyDescent="0.25">
      <c r="A25" s="103" t="s">
        <v>305</v>
      </c>
      <c r="B25" s="1036">
        <f>B19*P13/1000</f>
        <v>56.064708535537434</v>
      </c>
      <c r="C25" s="1036"/>
      <c r="D25" s="1036"/>
      <c r="E25" s="1036"/>
      <c r="G25" s="9"/>
      <c r="H25" s="9"/>
      <c r="I25" s="9"/>
      <c r="J25" s="9"/>
      <c r="K25" s="9"/>
      <c r="L25" s="9"/>
      <c r="M25" s="9"/>
      <c r="N25" s="9"/>
    </row>
    <row r="26" spans="1:14" ht="30" customHeight="1" x14ac:dyDescent="0.25">
      <c r="A26" s="104" t="s">
        <v>303</v>
      </c>
      <c r="B26" s="1058">
        <f>B25/'Objectifs CO2'!C8</f>
        <v>5.1716111494392305E-3</v>
      </c>
      <c r="C26" s="1058"/>
      <c r="D26" s="1058"/>
      <c r="E26" s="1058"/>
      <c r="G26" s="9">
        <f>G24+G22+G20+G18+G16+G14</f>
        <v>3398</v>
      </c>
      <c r="H26" s="9"/>
      <c r="I26" s="9"/>
      <c r="J26" s="9"/>
      <c r="K26" s="9"/>
      <c r="L26" s="9"/>
      <c r="M26" s="9"/>
      <c r="N26" s="9"/>
    </row>
    <row r="27" spans="1:14" ht="30" customHeight="1" x14ac:dyDescent="0.25">
      <c r="A27" s="104" t="s">
        <v>304</v>
      </c>
      <c r="B27" s="1056">
        <f>B25/'Objectifs CO2'!C4</f>
        <v>2.5858055747196153E-3</v>
      </c>
      <c r="C27" s="1057"/>
      <c r="D27" s="1057"/>
      <c r="E27" s="1057"/>
      <c r="G27" s="9"/>
      <c r="H27" s="9"/>
      <c r="I27" s="9"/>
      <c r="J27" s="9"/>
      <c r="K27" s="9"/>
      <c r="L27" s="9"/>
      <c r="M27" s="9"/>
      <c r="N27" s="9"/>
    </row>
    <row r="28" spans="1:14" ht="30" customHeight="1" x14ac:dyDescent="0.25">
      <c r="A28" s="104" t="s">
        <v>22</v>
      </c>
      <c r="B28" s="999"/>
      <c r="C28" s="999"/>
      <c r="D28" s="999"/>
      <c r="E28" s="999"/>
      <c r="G28" s="9"/>
      <c r="H28" s="9"/>
      <c r="I28" s="9"/>
      <c r="J28" s="9"/>
      <c r="K28" s="9"/>
      <c r="L28" s="9"/>
      <c r="M28" s="9"/>
      <c r="N28" s="9"/>
    </row>
    <row r="29" spans="1:14" ht="30" customHeight="1" x14ac:dyDescent="0.25">
      <c r="A29" s="101" t="s">
        <v>257</v>
      </c>
      <c r="B29" s="999" t="s">
        <v>266</v>
      </c>
      <c r="C29" s="999"/>
      <c r="D29" s="999"/>
      <c r="E29" s="999"/>
      <c r="F29" s="6" t="s">
        <v>264</v>
      </c>
    </row>
    <row r="31" spans="1:14" x14ac:dyDescent="0.25">
      <c r="A31" s="603" t="s">
        <v>1065</v>
      </c>
      <c r="B31" s="1003" t="s">
        <v>675</v>
      </c>
      <c r="C31" s="1003"/>
      <c r="D31" s="1003"/>
      <c r="E31" s="56" t="s">
        <v>676</v>
      </c>
    </row>
    <row r="32" spans="1:14"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7">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4:E4"/>
    <mergeCell ref="B5:E5"/>
    <mergeCell ref="B6:E6"/>
    <mergeCell ref="B7:E7"/>
    <mergeCell ref="G7:H7"/>
    <mergeCell ref="B9:E9"/>
    <mergeCell ref="G46:L46"/>
    <mergeCell ref="A47:A51"/>
    <mergeCell ref="B47:F47"/>
    <mergeCell ref="G47:L47"/>
    <mergeCell ref="B48:F48"/>
    <mergeCell ref="G48:L48"/>
    <mergeCell ref="B49:F49"/>
    <mergeCell ref="G49:L49"/>
    <mergeCell ref="B50:F50"/>
    <mergeCell ref="G50:L50"/>
    <mergeCell ref="B51:F51"/>
    <mergeCell ref="G51:L51"/>
    <mergeCell ref="V10:V12"/>
    <mergeCell ref="L13:L14"/>
    <mergeCell ref="Z5:AB5"/>
    <mergeCell ref="Z6:AA6"/>
    <mergeCell ref="Z8:AA8"/>
    <mergeCell ref="Z9:AA9"/>
    <mergeCell ref="Z10:AA10"/>
    <mergeCell ref="Z16:AA16"/>
    <mergeCell ref="Z11:AA11"/>
    <mergeCell ref="Z12:AA12"/>
    <mergeCell ref="Z13:AA13"/>
    <mergeCell ref="Z14:AA14"/>
    <mergeCell ref="Z15:AA15"/>
    <mergeCell ref="A1:E1"/>
    <mergeCell ref="B2:E2"/>
    <mergeCell ref="B31:D31"/>
    <mergeCell ref="B32:D32"/>
    <mergeCell ref="G32:I32"/>
    <mergeCell ref="B33:D33"/>
    <mergeCell ref="H33:I33"/>
    <mergeCell ref="G40:I40"/>
    <mergeCell ref="B34:D34"/>
    <mergeCell ref="H34:I34"/>
    <mergeCell ref="B35:D35"/>
    <mergeCell ref="H35:I35"/>
    <mergeCell ref="B36:D36"/>
    <mergeCell ref="B25:E25"/>
    <mergeCell ref="B29:E29"/>
    <mergeCell ref="B10:E10"/>
    <mergeCell ref="B26:E26"/>
    <mergeCell ref="B27:E27"/>
    <mergeCell ref="B28:E28"/>
    <mergeCell ref="B21:E21"/>
    <mergeCell ref="B22:E22"/>
    <mergeCell ref="B23:E23"/>
    <mergeCell ref="B11:E11"/>
    <mergeCell ref="B12:E12"/>
    <mergeCell ref="G2:H2"/>
    <mergeCell ref="B3:E3"/>
    <mergeCell ref="G3:H3"/>
    <mergeCell ref="B42:D42"/>
    <mergeCell ref="B44:D44"/>
    <mergeCell ref="B37:D37"/>
    <mergeCell ref="B38:D38"/>
    <mergeCell ref="B39:D39"/>
    <mergeCell ref="B40:D40"/>
    <mergeCell ref="B41:D41"/>
    <mergeCell ref="B13:E13"/>
    <mergeCell ref="B14:E14"/>
    <mergeCell ref="B15:E15"/>
    <mergeCell ref="B24:E24"/>
    <mergeCell ref="B18:E18"/>
    <mergeCell ref="B19:E19"/>
    <mergeCell ref="B20:E20"/>
    <mergeCell ref="B16:E16"/>
    <mergeCell ref="B17:E17"/>
    <mergeCell ref="G4:H4"/>
    <mergeCell ref="G5:H5"/>
    <mergeCell ref="B8:E8"/>
    <mergeCell ref="G6:H6"/>
    <mergeCell ref="G8:G10"/>
  </mergeCells>
  <conditionalFormatting sqref="B5">
    <cfRule type="containsText" dxfId="263" priority="1" operator="containsText" text="Terminé">
      <formula>NOT(ISERROR(SEARCH("Terminé",B5)))</formula>
    </cfRule>
    <cfRule type="containsText" dxfId="262" priority="2" operator="containsText" text="En cours">
      <formula>NOT(ISERROR(SEARCH("En cours",B5)))</formula>
    </cfRule>
    <cfRule type="containsText" dxfId="26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G153"/>
  <sheetViews>
    <sheetView topLeftCell="L1" zoomScale="160" zoomScaleNormal="160" workbookViewId="0">
      <selection activeCell="N95" sqref="N95"/>
    </sheetView>
  </sheetViews>
  <sheetFormatPr baseColWidth="10" defaultColWidth="11.42578125" defaultRowHeight="15" x14ac:dyDescent="0.25"/>
  <cols>
    <col min="1" max="1" width="10.5703125" style="202" customWidth="1"/>
    <col min="2" max="2" width="20.5703125" style="202" customWidth="1"/>
    <col min="3" max="3" width="18" style="30" customWidth="1"/>
    <col min="4" max="4" width="42.28515625" style="30" customWidth="1"/>
    <col min="5" max="5" width="14.7109375" style="30" customWidth="1"/>
    <col min="6" max="6" width="17.28515625" style="30" customWidth="1"/>
    <col min="7" max="7" width="12.85546875" style="30" customWidth="1"/>
    <col min="8" max="8" width="13.42578125" style="51" customWidth="1"/>
    <col min="9" max="9" width="14" style="51" customWidth="1"/>
    <col min="10" max="10" width="12.5703125" style="51" bestFit="1" customWidth="1"/>
    <col min="11" max="11" width="12.42578125" style="51" customWidth="1"/>
    <col min="12" max="12" width="8.85546875" style="51" customWidth="1"/>
    <col min="13" max="13" width="9.42578125" style="30" customWidth="1"/>
    <col min="14" max="14" width="14.42578125" style="30" customWidth="1"/>
    <col min="15" max="15" width="15.5703125" style="30" customWidth="1"/>
    <col min="16" max="16" width="13.7109375" style="30" customWidth="1"/>
    <col min="17" max="17" width="11.140625" style="30" customWidth="1"/>
    <col min="18" max="18" width="17.42578125" style="30" customWidth="1"/>
    <col min="19" max="19" width="12.42578125" style="30" bestFit="1" customWidth="1"/>
    <col min="20" max="25" width="11.5703125" style="30" bestFit="1" customWidth="1"/>
    <col min="26" max="26" width="11.42578125" style="30"/>
    <col min="27" max="33" width="15.42578125" style="30" customWidth="1"/>
    <col min="34" max="34" width="11.42578125" style="30"/>
    <col min="35" max="35" width="12.42578125" style="30" bestFit="1" customWidth="1"/>
    <col min="36" max="41" width="11.5703125" style="30" bestFit="1" customWidth="1"/>
    <col min="42" max="42" width="11.42578125" style="30"/>
    <col min="43" max="43" width="12.42578125" style="30" bestFit="1" customWidth="1"/>
    <col min="44" max="49" width="11.5703125" style="30" bestFit="1" customWidth="1"/>
    <col min="50" max="50" width="11.42578125" style="30"/>
    <col min="51" max="51" width="12.42578125" style="30" bestFit="1" customWidth="1"/>
    <col min="52" max="57" width="11.5703125" style="30" bestFit="1" customWidth="1"/>
    <col min="58" max="58" width="11.42578125" style="30"/>
    <col min="59" max="59" width="13.85546875" style="30" bestFit="1" customWidth="1"/>
    <col min="60" max="61" width="13.140625" style="30" customWidth="1"/>
    <col min="62" max="62" width="13.85546875" style="30" bestFit="1" customWidth="1"/>
    <col min="63" max="63" width="16" style="30" bestFit="1" customWidth="1"/>
    <col min="64" max="64" width="13.85546875" style="30" bestFit="1" customWidth="1"/>
    <col min="65" max="65" width="11.42578125" style="30"/>
    <col min="66" max="66" width="12.42578125" style="30" bestFit="1" customWidth="1"/>
    <col min="67" max="71" width="11.5703125" style="30" bestFit="1" customWidth="1"/>
    <col min="72" max="16384" width="11.42578125" style="30"/>
  </cols>
  <sheetData>
    <row r="1" spans="1:71" s="132" customFormat="1" ht="60" x14ac:dyDescent="0.25">
      <c r="A1" s="128" t="s">
        <v>23</v>
      </c>
      <c r="B1" s="420" t="s">
        <v>766</v>
      </c>
      <c r="C1" s="128" t="s">
        <v>1</v>
      </c>
      <c r="D1" s="128" t="s">
        <v>0</v>
      </c>
      <c r="E1" s="128" t="s">
        <v>24</v>
      </c>
      <c r="F1" s="128" t="s">
        <v>14</v>
      </c>
      <c r="G1" s="128" t="s">
        <v>474</v>
      </c>
      <c r="H1" s="129" t="s">
        <v>25</v>
      </c>
      <c r="I1" s="129" t="s">
        <v>475</v>
      </c>
      <c r="J1" s="129" t="s">
        <v>7</v>
      </c>
      <c r="K1" s="129" t="s">
        <v>8</v>
      </c>
      <c r="L1" s="129" t="s">
        <v>26</v>
      </c>
      <c r="M1" s="128" t="s">
        <v>27</v>
      </c>
      <c r="N1" s="128" t="s">
        <v>28</v>
      </c>
      <c r="O1" s="128" t="s">
        <v>817</v>
      </c>
      <c r="P1" s="130" t="s">
        <v>16</v>
      </c>
      <c r="Q1" s="130" t="s">
        <v>5</v>
      </c>
      <c r="R1" s="282" t="s">
        <v>580</v>
      </c>
      <c r="S1" s="131" t="s">
        <v>340</v>
      </c>
      <c r="T1" s="131" t="s">
        <v>341</v>
      </c>
      <c r="U1" s="131" t="s">
        <v>342</v>
      </c>
      <c r="V1" s="131" t="s">
        <v>343</v>
      </c>
      <c r="W1" s="131" t="s">
        <v>344</v>
      </c>
      <c r="X1" s="131" t="s">
        <v>345</v>
      </c>
      <c r="Y1" s="131" t="s">
        <v>346</v>
      </c>
      <c r="AA1" s="131" t="s">
        <v>347</v>
      </c>
      <c r="AB1" s="131" t="s">
        <v>348</v>
      </c>
      <c r="AC1" s="131" t="s">
        <v>349</v>
      </c>
      <c r="AD1" s="131" t="s">
        <v>350</v>
      </c>
      <c r="AE1" s="131" t="s">
        <v>351</v>
      </c>
      <c r="AF1" s="131" t="s">
        <v>352</v>
      </c>
      <c r="AG1" s="131" t="s">
        <v>353</v>
      </c>
      <c r="AI1" s="131" t="s">
        <v>354</v>
      </c>
      <c r="AJ1" s="131" t="s">
        <v>355</v>
      </c>
      <c r="AK1" s="131" t="s">
        <v>356</v>
      </c>
      <c r="AL1" s="131" t="s">
        <v>357</v>
      </c>
      <c r="AM1" s="131" t="s">
        <v>358</v>
      </c>
      <c r="AN1" s="131" t="s">
        <v>359</v>
      </c>
      <c r="AO1" s="131" t="s">
        <v>360</v>
      </c>
      <c r="AQ1" s="131" t="s">
        <v>361</v>
      </c>
      <c r="AR1" s="131" t="s">
        <v>362</v>
      </c>
      <c r="AS1" s="131" t="s">
        <v>363</v>
      </c>
      <c r="AT1" s="131" t="s">
        <v>364</v>
      </c>
      <c r="AU1" s="131" t="s">
        <v>365</v>
      </c>
      <c r="AV1" s="131" t="s">
        <v>366</v>
      </c>
      <c r="AW1" s="131" t="s">
        <v>367</v>
      </c>
      <c r="AY1" s="131" t="s">
        <v>368</v>
      </c>
      <c r="AZ1" s="131" t="s">
        <v>369</v>
      </c>
      <c r="BA1" s="131" t="s">
        <v>370</v>
      </c>
      <c r="BB1" s="131" t="s">
        <v>371</v>
      </c>
      <c r="BC1" s="131" t="s">
        <v>372</v>
      </c>
      <c r="BD1" s="131" t="s">
        <v>373</v>
      </c>
      <c r="BE1" s="131" t="s">
        <v>374</v>
      </c>
      <c r="BG1" s="131" t="s">
        <v>375</v>
      </c>
      <c r="BH1" s="131" t="s">
        <v>376</v>
      </c>
      <c r="BI1" s="131" t="s">
        <v>377</v>
      </c>
      <c r="BJ1" s="131" t="s">
        <v>378</v>
      </c>
      <c r="BK1" s="131" t="s">
        <v>938</v>
      </c>
      <c r="BL1" s="131" t="s">
        <v>379</v>
      </c>
      <c r="BN1" s="131" t="s">
        <v>375</v>
      </c>
      <c r="BO1" s="131" t="s">
        <v>376</v>
      </c>
      <c r="BP1" s="131" t="s">
        <v>377</v>
      </c>
      <c r="BQ1" s="131" t="s">
        <v>378</v>
      </c>
      <c r="BR1" s="131" t="s">
        <v>938</v>
      </c>
      <c r="BS1" s="131" t="s">
        <v>379</v>
      </c>
    </row>
    <row r="2" spans="1:71" s="288" customFormat="1" ht="18" customHeight="1" x14ac:dyDescent="0.25">
      <c r="A2" s="370" t="s">
        <v>122</v>
      </c>
      <c r="B2" s="370" t="str">
        <f>'ADO-1'!B$3:E$3</f>
        <v>Communication</v>
      </c>
      <c r="C2" s="799" t="str">
        <f>'ADO-1'!$B$8</f>
        <v xml:space="preserve">Information </v>
      </c>
      <c r="D2" s="800" t="str">
        <f>'ADO-1'!$B$9</f>
        <v>Information des citoyens</v>
      </c>
      <c r="E2" s="800" t="str">
        <f>'ADO-1'!$B$4</f>
        <v>Territoire</v>
      </c>
      <c r="F2" s="800" t="str">
        <f>'ADO-1'!$B$12</f>
        <v>AC MESSANCY</v>
      </c>
      <c r="G2" s="800" t="str">
        <f>'ADO-1'!$B$6</f>
        <v>Fonds propres</v>
      </c>
      <c r="H2" s="801">
        <f>'ADO-1'!$B$17</f>
        <v>5000</v>
      </c>
      <c r="I2" s="800" t="str">
        <f>'ADO-1'!$B$7</f>
        <v>Néant</v>
      </c>
      <c r="J2" s="801">
        <f>'ADO-1'!$B$18</f>
        <v>0</v>
      </c>
      <c r="K2" s="801">
        <f>'ADO-1'!$B$21</f>
        <v>1</v>
      </c>
      <c r="L2" s="801">
        <f>'ADO-1'!$B$22</f>
        <v>0</v>
      </c>
      <c r="M2" s="802">
        <f>'ADO-1'!$B$24</f>
        <v>5000</v>
      </c>
      <c r="N2" s="803">
        <f>'ADO-1'!$B$25</f>
        <v>0</v>
      </c>
      <c r="O2" s="804">
        <f t="shared" ref="O2:O7" si="0">IF(H2=0,0,N2/(H2-J2)*1000)</f>
        <v>0</v>
      </c>
      <c r="P2" s="805" t="str">
        <f>'ADO-1'!$B$5</f>
        <v>A faire</v>
      </c>
      <c r="Q2" s="806">
        <f>'ADO-1'!$B$16</f>
        <v>2025</v>
      </c>
      <c r="R2" s="807" t="str">
        <f t="shared" ref="R2:R13" si="1">IF(P2="terminé", N2,"")</f>
        <v/>
      </c>
      <c r="S2" s="287">
        <f t="shared" ref="S2" si="2">IF((P2="Terminé")*AND(E2="Territoire"),N2,0)</f>
        <v>0</v>
      </c>
      <c r="T2" s="287">
        <f t="shared" ref="T2" si="3">IF((P2="Terminé")*AND(E2="Agriculture"),N2,0)</f>
        <v>0</v>
      </c>
      <c r="U2" s="287">
        <f t="shared" ref="U2" si="4">IF((P2="Terminé")*AND(E2="Industrie"), N2,0)</f>
        <v>0</v>
      </c>
      <c r="V2" s="287">
        <f t="shared" ref="V2" si="5">IF((P2="Terminé")*AND(E2="Logement"),N2,0)</f>
        <v>0</v>
      </c>
      <c r="W2" s="287">
        <f t="shared" ref="W2" si="6">IF((P2="Terminé")*AND(E2="Tertiaire"),N2,0)</f>
        <v>0</v>
      </c>
      <c r="X2" s="287">
        <f t="shared" ref="X2" si="7">IF((P2="Terminé")*AND(E2="Transport"),N2,0)</f>
        <v>0</v>
      </c>
      <c r="Y2" s="287">
        <f t="shared" ref="Y2" si="8">IF((P2="Terminé")*AND(E2="Communal"),N2,0)</f>
        <v>0</v>
      </c>
      <c r="AA2" s="287">
        <f t="shared" ref="AA2" si="9">IF((P2="Terminé")*AND(E2="Territoire"),H2,0)</f>
        <v>0</v>
      </c>
      <c r="AB2" s="287">
        <f t="shared" ref="AB2" si="10">IF((P2="Terminé")*AND(E2="Agriculture"),H2,0)</f>
        <v>0</v>
      </c>
      <c r="AC2" s="287">
        <f t="shared" ref="AC2" si="11">IF((P2="Terminé")*AND(E2="Industrie"), H2,0)</f>
        <v>0</v>
      </c>
      <c r="AD2" s="287">
        <f t="shared" ref="AD2" si="12">IF((P2="Terminé")*AND(E2="Logement"), H2,0)</f>
        <v>0</v>
      </c>
      <c r="AE2" s="287">
        <f t="shared" ref="AE2" si="13">IF((P2="Terminé")*AND(E2="Tertiaire"),H2,0)</f>
        <v>0</v>
      </c>
      <c r="AF2" s="287">
        <f t="shared" ref="AF2" si="14">IF((P2="Terminé")*AND(E2="Transport"),H2,0)</f>
        <v>0</v>
      </c>
      <c r="AG2" s="287">
        <f t="shared" ref="AG2" si="15">IF((P2="Terminé")*AND(E2="Communal"),H2,0)</f>
        <v>0</v>
      </c>
      <c r="AI2" s="287">
        <f t="shared" ref="AI2" si="16">IF((P2="Terminé")*AND(E2="Territoire"),J2,0)</f>
        <v>0</v>
      </c>
      <c r="AJ2" s="287">
        <f t="shared" ref="AJ2" si="17">IF((P2="Terminé")*AND(E2="Agriculture"),J2,0)</f>
        <v>0</v>
      </c>
      <c r="AK2" s="287">
        <f t="shared" ref="AK2" si="18">IF((P2="Terminé")*AND(E2="Industrie"), J2,0)</f>
        <v>0</v>
      </c>
      <c r="AL2" s="287">
        <f t="shared" ref="AL2" si="19">IF((P2="Terminé")*AND(E2="Logement"), J2,0)</f>
        <v>0</v>
      </c>
      <c r="AM2" s="287">
        <f t="shared" ref="AM2" si="20">IF((P2="Terminé")*AND(E2="Tertiaire"),J2,0)</f>
        <v>0</v>
      </c>
      <c r="AN2" s="287">
        <f t="shared" ref="AN2" si="21">IF((P2="Terminé")*AND(E2="Transport"),J2,0)</f>
        <v>0</v>
      </c>
      <c r="AO2" s="287">
        <f t="shared" ref="AO2" si="22">IF((P2="Terminé")*AND(E2="Communal"),J2,0)</f>
        <v>0</v>
      </c>
      <c r="AQ2" s="287">
        <f t="shared" ref="AQ2" si="23">IF((P2="Terminé")*AND(E2="Territoire"),K2,0)</f>
        <v>0</v>
      </c>
      <c r="AR2" s="287">
        <f t="shared" ref="AR2" si="24">IF((P2="Terminé")*AND(E2="Agriculture"),K2,0)</f>
        <v>0</v>
      </c>
      <c r="AS2" s="287">
        <f t="shared" ref="AS2" si="25">IF((P2="Terminé")*AND(E2="Industrie"), K2,0)</f>
        <v>0</v>
      </c>
      <c r="AT2" s="287">
        <f t="shared" ref="AT2" si="26">IF((P2="Terminé")*AND(E2="Logement"), K2,0)</f>
        <v>0</v>
      </c>
      <c r="AU2" s="287">
        <f t="shared" ref="AU2" si="27">IF((P2="Terminé")*AND(E2="Tertiaire"),K2,0)</f>
        <v>0</v>
      </c>
      <c r="AV2" s="287">
        <f t="shared" ref="AV2" si="28">IF((P2="Terminé")*AND(E2="Transport"),K2,0)</f>
        <v>0</v>
      </c>
      <c r="AW2" s="287">
        <f t="shared" ref="AW2" si="29">IF((P2="Terminé")*AND(E2="Communal"),K2,0)</f>
        <v>0</v>
      </c>
      <c r="AY2" s="287">
        <f t="shared" ref="AY2" si="30">IF((P2="Terminé")*AND(E2="Territoire"),L2,0)</f>
        <v>0</v>
      </c>
      <c r="AZ2" s="287">
        <f t="shared" ref="AZ2" si="31">IF((P2="Terminé")*AND(E2="Agriculture"),L2,0)</f>
        <v>0</v>
      </c>
      <c r="BA2" s="287">
        <f t="shared" ref="BA2" si="32">IF((P2="Terminé")*AND(E2="Industrie"), L2,0)</f>
        <v>0</v>
      </c>
      <c r="BB2" s="287">
        <f t="shared" ref="BB2" si="33">IF((P2="Terminé")*AND(E2="Logement"), L2,0)</f>
        <v>0</v>
      </c>
      <c r="BC2" s="287">
        <f t="shared" ref="BC2" si="34">IF((P2="Terminé")*AND(E2="Tertiaire"),L2,0)</f>
        <v>0</v>
      </c>
      <c r="BD2" s="287">
        <f t="shared" ref="BD2" si="35">IF((P2="Terminé")*AND(E2="Transport"),L2,0)</f>
        <v>0</v>
      </c>
      <c r="BE2" s="287">
        <f t="shared" ref="BE2" si="36">IF((P2="Terminé")*AND(E2="Communal"),L2,0)</f>
        <v>0</v>
      </c>
      <c r="BG2" s="287">
        <f t="shared" ref="BG2" si="37">IF((P2="Terminé")*AND(F2="Agriculture"),H2,0)</f>
        <v>0</v>
      </c>
      <c r="BH2" s="287">
        <f t="shared" ref="BH2" si="38">IF((P2="Terminé")*AND(F2="Industrie"),H2,0)</f>
        <v>0</v>
      </c>
      <c r="BI2" s="287">
        <f t="shared" ref="BI2" si="39">IF((P2="Terminé")*AND(F2="Citoyen"), H2,0)</f>
        <v>0</v>
      </c>
      <c r="BJ2" s="287">
        <f t="shared" ref="BJ2" si="40">IF((P2="Terminé")*AND(F2="IDELUX"), H2,0)</f>
        <v>0</v>
      </c>
      <c r="BK2" s="290">
        <f t="shared" ref="BK2:BK39" si="41">IF((P2="Terminé")*AND(F2="AC MESSANCY"),H2,0)</f>
        <v>0</v>
      </c>
      <c r="BL2" s="287">
        <f t="shared" ref="BL2" si="42">IF((P2="Terminé")*AND(F2="Tertiaire"),H2,0)</f>
        <v>0</v>
      </c>
      <c r="BN2" s="287">
        <f t="shared" ref="BN2" si="43">IF((P2="Terminé")*AND(F2="Agriculture"),J2,0)</f>
        <v>0</v>
      </c>
      <c r="BO2" s="287">
        <f t="shared" ref="BO2" si="44">IF((P2="Terminé")*AND(F2="Industrie"),J2,0)</f>
        <v>0</v>
      </c>
      <c r="BP2" s="287">
        <f t="shared" ref="BP2" si="45">IF((P2="Terminé")*AND(F2="Citoyen"), J2,0)</f>
        <v>0</v>
      </c>
      <c r="BQ2" s="287">
        <f t="shared" ref="BQ2" si="46">IF((P2="Terminé")*AND(F2="IDELUX"), J2,0)</f>
        <v>0</v>
      </c>
      <c r="BR2" s="290">
        <f t="shared" ref="BR2:BR39" si="47">IF((P2="Terminé")*AND(F2="AC MESSANCY"),J2,0)</f>
        <v>0</v>
      </c>
      <c r="BS2" s="287">
        <f t="shared" ref="BS2" si="48">IF((P2="Terminé")*AND(F2="Tertiaire"),J2,0)</f>
        <v>0</v>
      </c>
    </row>
    <row r="3" spans="1:71" s="288" customFormat="1" ht="18" customHeight="1" x14ac:dyDescent="0.25">
      <c r="A3" s="370" t="s">
        <v>123</v>
      </c>
      <c r="B3" s="370" t="str">
        <f>'ADO-2'!B$3:E$3</f>
        <v>Communication</v>
      </c>
      <c r="C3" s="799" t="str">
        <f>'ADO-2'!$B$8</f>
        <v>Sensibilisation</v>
      </c>
      <c r="D3" s="800" t="str">
        <f>'ADO-2'!$B$9</f>
        <v>Enjeux du réchauffement climatique</v>
      </c>
      <c r="E3" s="800" t="str">
        <f>'ADO-2'!$B$4</f>
        <v>Territoire</v>
      </c>
      <c r="F3" s="800" t="str">
        <f>'ADO-2'!$B$12</f>
        <v>AC MESSANCY</v>
      </c>
      <c r="G3" s="800" t="str">
        <f>'ADO-2'!$B$6</f>
        <v>Fonds propres</v>
      </c>
      <c r="H3" s="801">
        <f>'ADO-2'!$B$17</f>
        <v>5000</v>
      </c>
      <c r="I3" s="800" t="str">
        <f>'ADO-2'!$B$7</f>
        <v>Néant</v>
      </c>
      <c r="J3" s="801">
        <f>'ADO-2'!$B$18</f>
        <v>0</v>
      </c>
      <c r="K3" s="801">
        <f>'ADO-2'!$B$21</f>
        <v>1</v>
      </c>
      <c r="L3" s="801">
        <f>'ADO-2'!$B$22</f>
        <v>0</v>
      </c>
      <c r="M3" s="802">
        <f>'ADO-2'!$B$24</f>
        <v>5000</v>
      </c>
      <c r="N3" s="803">
        <f>'ADO-2'!$B$25</f>
        <v>0</v>
      </c>
      <c r="O3" s="804">
        <f t="shared" si="0"/>
        <v>0</v>
      </c>
      <c r="P3" s="805" t="str">
        <f>'ADO-2'!$B$5</f>
        <v>A faire</v>
      </c>
      <c r="Q3" s="806">
        <f>'ADO-2'!$B$16</f>
        <v>2030</v>
      </c>
      <c r="R3" s="807" t="str">
        <f t="shared" si="1"/>
        <v/>
      </c>
      <c r="S3" s="287">
        <f t="shared" ref="S3:S86" si="49">IF((P3="Terminé")*AND(E3="Territoire"),N3,0)</f>
        <v>0</v>
      </c>
      <c r="T3" s="287">
        <f t="shared" ref="T3:T86" si="50">IF((P3="Terminé")*AND(E3="Agriculture"),N3,0)</f>
        <v>0</v>
      </c>
      <c r="U3" s="287">
        <f t="shared" ref="U3:U86" si="51">IF((P3="Terminé")*AND(E3="Industrie"), N3,0)</f>
        <v>0</v>
      </c>
      <c r="V3" s="287">
        <f t="shared" ref="V3:V86" si="52">IF((P3="Terminé")*AND(E3="Logement"),N3,0)</f>
        <v>0</v>
      </c>
      <c r="W3" s="287">
        <f t="shared" ref="W3:W86" si="53">IF((P3="Terminé")*AND(E3="Tertiaire"),N3,0)</f>
        <v>0</v>
      </c>
      <c r="X3" s="287">
        <f t="shared" ref="X3:X86" si="54">IF((P3="Terminé")*AND(E3="Transport"),N3,0)</f>
        <v>0</v>
      </c>
      <c r="Y3" s="287">
        <f t="shared" ref="Y3:Y86" si="55">IF((P3="Terminé")*AND(E3="Communal"),N3,0)</f>
        <v>0</v>
      </c>
      <c r="AA3" s="287">
        <f t="shared" ref="AA3:AA86" si="56">IF((P3="Terminé")*AND(E3="Territoire"),H3,0)</f>
        <v>0</v>
      </c>
      <c r="AB3" s="287">
        <f t="shared" ref="AB3:AB86" si="57">IF((P3="Terminé")*AND(E3="Agriculture"),H3,0)</f>
        <v>0</v>
      </c>
      <c r="AC3" s="287">
        <f t="shared" ref="AC3:AC86" si="58">IF((P3="Terminé")*AND(E3="Industrie"), H3,0)</f>
        <v>0</v>
      </c>
      <c r="AD3" s="287">
        <f t="shared" ref="AD3:AD86" si="59">IF((P3="Terminé")*AND(E3="Logement"), H3,0)</f>
        <v>0</v>
      </c>
      <c r="AE3" s="287">
        <f t="shared" ref="AE3:AE86" si="60">IF((P3="Terminé")*AND(E3="Tertiaire"),H3,0)</f>
        <v>0</v>
      </c>
      <c r="AF3" s="287">
        <f t="shared" ref="AF3:AF86" si="61">IF((P3="Terminé")*AND(E3="Transport"),H3,0)</f>
        <v>0</v>
      </c>
      <c r="AG3" s="287">
        <f t="shared" ref="AG3:AG86" si="62">IF((P3="Terminé")*AND(E3="Communal"),H3,0)</f>
        <v>0</v>
      </c>
      <c r="AI3" s="287">
        <f t="shared" ref="AI3:AI86" si="63">IF((P3="Terminé")*AND(E3="Territoire"),J3,0)</f>
        <v>0</v>
      </c>
      <c r="AJ3" s="287">
        <f t="shared" ref="AJ3:AJ86" si="64">IF((P3="Terminé")*AND(E3="Agriculture"),J3,0)</f>
        <v>0</v>
      </c>
      <c r="AK3" s="287">
        <f t="shared" ref="AK3:AK86" si="65">IF((P3="Terminé")*AND(E3="Industrie"), J3,0)</f>
        <v>0</v>
      </c>
      <c r="AL3" s="287">
        <f t="shared" ref="AL3:AL86" si="66">IF((P3="Terminé")*AND(E3="Logement"), J3,0)</f>
        <v>0</v>
      </c>
      <c r="AM3" s="287">
        <f t="shared" ref="AM3:AM86" si="67">IF((P3="Terminé")*AND(E3="Tertiaire"),J3,0)</f>
        <v>0</v>
      </c>
      <c r="AN3" s="287">
        <f t="shared" ref="AN3:AN86" si="68">IF((P3="Terminé")*AND(E3="Transport"),J3,0)</f>
        <v>0</v>
      </c>
      <c r="AO3" s="287">
        <f t="shared" ref="AO3:AO86" si="69">IF((P3="Terminé")*AND(E3="Communal"),J3,0)</f>
        <v>0</v>
      </c>
      <c r="AQ3" s="287">
        <f t="shared" ref="AQ3:AQ86" si="70">IF((P3="Terminé")*AND(E3="Territoire"),K3,0)</f>
        <v>0</v>
      </c>
      <c r="AR3" s="287">
        <f t="shared" ref="AR3:AR86" si="71">IF((P3="Terminé")*AND(E3="Agriculture"),K3,0)</f>
        <v>0</v>
      </c>
      <c r="AS3" s="287">
        <f t="shared" ref="AS3:AS86" si="72">IF((P3="Terminé")*AND(E3="Industrie"), K3,0)</f>
        <v>0</v>
      </c>
      <c r="AT3" s="287">
        <f t="shared" ref="AT3:AT86" si="73">IF((P3="Terminé")*AND(E3="Logement"), K3,0)</f>
        <v>0</v>
      </c>
      <c r="AU3" s="287">
        <f t="shared" ref="AU3:AU86" si="74">IF((P3="Terminé")*AND(E3="Tertiaire"),K3,0)</f>
        <v>0</v>
      </c>
      <c r="AV3" s="287">
        <f t="shared" ref="AV3:AV86" si="75">IF((P3="Terminé")*AND(E3="Transport"),K3,0)</f>
        <v>0</v>
      </c>
      <c r="AW3" s="287">
        <f t="shared" ref="AW3:AW86" si="76">IF((P3="Terminé")*AND(E3="Communal"),K3,0)</f>
        <v>0</v>
      </c>
      <c r="AY3" s="287">
        <f t="shared" ref="AY3:AY86" si="77">IF((P3="Terminé")*AND(E3="Territoire"),L3,0)</f>
        <v>0</v>
      </c>
      <c r="AZ3" s="287">
        <f t="shared" ref="AZ3:AZ86" si="78">IF((P3="Terminé")*AND(E3="Agriculture"),L3,0)</f>
        <v>0</v>
      </c>
      <c r="BA3" s="287">
        <f t="shared" ref="BA3:BA86" si="79">IF((P3="Terminé")*AND(E3="Industrie"), L3,0)</f>
        <v>0</v>
      </c>
      <c r="BB3" s="287">
        <f t="shared" ref="BB3:BB86" si="80">IF((P3="Terminé")*AND(E3="Logement"), L3,0)</f>
        <v>0</v>
      </c>
      <c r="BC3" s="287">
        <f t="shared" ref="BC3:BC86" si="81">IF((P3="Terminé")*AND(E3="Tertiaire"),L3,0)</f>
        <v>0</v>
      </c>
      <c r="BD3" s="287">
        <f t="shared" ref="BD3:BD86" si="82">IF((P3="Terminé")*AND(E3="Transport"),L3,0)</f>
        <v>0</v>
      </c>
      <c r="BE3" s="287">
        <f t="shared" ref="BE3:BE86" si="83">IF((P3="Terminé")*AND(E3="Communal"),L3,0)</f>
        <v>0</v>
      </c>
      <c r="BG3" s="287">
        <f t="shared" ref="BG3:BG86" si="84">IF((P3="Terminé")*AND(F3="Agriculture"),H3,0)</f>
        <v>0</v>
      </c>
      <c r="BH3" s="287">
        <f t="shared" ref="BH3:BH86" si="85">IF((P3="Terminé")*AND(F3="Industrie"),H3,0)</f>
        <v>0</v>
      </c>
      <c r="BI3" s="287">
        <f t="shared" ref="BI3:BI86" si="86">IF((P3="Terminé")*AND(F3="Citoyen"), H3,0)</f>
        <v>0</v>
      </c>
      <c r="BJ3" s="287">
        <f t="shared" ref="BJ3:BJ86" si="87">IF((P3="Terminé")*AND(F3="IDELUX"), H3,0)</f>
        <v>0</v>
      </c>
      <c r="BK3" s="290">
        <f t="shared" si="41"/>
        <v>0</v>
      </c>
      <c r="BL3" s="287">
        <f t="shared" ref="BL3:BL86" si="88">IF((P3="Terminé")*AND(F3="Tertiaire"),H3,0)</f>
        <v>0</v>
      </c>
      <c r="BN3" s="287">
        <f t="shared" ref="BN3:BN86" si="89">IF((P3="Terminé")*AND(F3="Agriculture"),J3,0)</f>
        <v>0</v>
      </c>
      <c r="BO3" s="287">
        <f t="shared" ref="BO3:BO86" si="90">IF((P3="Terminé")*AND(F3="Industrie"),J3,0)</f>
        <v>0</v>
      </c>
      <c r="BP3" s="287">
        <f t="shared" ref="BP3:BP86" si="91">IF((P3="Terminé")*AND(F3="Citoyen"), J3,0)</f>
        <v>0</v>
      </c>
      <c r="BQ3" s="287">
        <f t="shared" ref="BQ3:BQ86" si="92">IF((P3="Terminé")*AND(F3="IDELUX"), J3,0)</f>
        <v>0</v>
      </c>
      <c r="BR3" s="290">
        <f t="shared" si="47"/>
        <v>0</v>
      </c>
      <c r="BS3" s="287">
        <f t="shared" ref="BS3:BS86" si="93">IF((P3="Terminé")*AND(F3="Tertiaire"),J3,0)</f>
        <v>0</v>
      </c>
    </row>
    <row r="4" spans="1:71" s="288" customFormat="1" ht="18" customHeight="1" x14ac:dyDescent="0.25">
      <c r="A4" s="370" t="s">
        <v>78</v>
      </c>
      <c r="B4" s="370" t="str">
        <f>'ADO-3'!B$3:E$3</f>
        <v>Communication</v>
      </c>
      <c r="C4" s="799" t="str">
        <f>'ADO-3'!$B$8</f>
        <v>Formation et Information</v>
      </c>
      <c r="D4" s="800" t="str">
        <f>'ADO-3'!$B$9</f>
        <v>Economie d'énergies en milieu scolaire</v>
      </c>
      <c r="E4" s="800" t="str">
        <f>'ADO-3'!$B$4</f>
        <v>Communal</v>
      </c>
      <c r="F4" s="800" t="str">
        <f>'ADO-3'!$B$12</f>
        <v>AC MESSANCY</v>
      </c>
      <c r="G4" s="800" t="str">
        <f>'ADO-3'!$B$6</f>
        <v>Fonds propres</v>
      </c>
      <c r="H4" s="801">
        <f>'ADO-3'!$B$17</f>
        <v>10000</v>
      </c>
      <c r="I4" s="800" t="str">
        <f>'ADO-3'!$B$7</f>
        <v>Néant</v>
      </c>
      <c r="J4" s="801">
        <f>'ADO-3'!$B$18</f>
        <v>0</v>
      </c>
      <c r="K4" s="801">
        <f>'ADO-3'!$B$21</f>
        <v>12074.903473522123</v>
      </c>
      <c r="L4" s="801">
        <f>'ADO-3'!$B$22</f>
        <v>0</v>
      </c>
      <c r="M4" s="802">
        <f>'ADO-3'!$B$24</f>
        <v>0.82816397016572629</v>
      </c>
      <c r="N4" s="803">
        <f>'ADO-3'!$B$25</f>
        <v>38.761520210828145</v>
      </c>
      <c r="O4" s="804">
        <f t="shared" si="0"/>
        <v>3.8761520210828144</v>
      </c>
      <c r="P4" s="805" t="str">
        <f>'ADO-3'!$B$5</f>
        <v>A faire</v>
      </c>
      <c r="Q4" s="806">
        <f>'ADO-3'!$B$16</f>
        <v>2030</v>
      </c>
      <c r="R4" s="807" t="str">
        <f t="shared" si="1"/>
        <v/>
      </c>
      <c r="S4" s="287">
        <f t="shared" si="49"/>
        <v>0</v>
      </c>
      <c r="T4" s="287">
        <f t="shared" si="50"/>
        <v>0</v>
      </c>
      <c r="U4" s="287">
        <f t="shared" si="51"/>
        <v>0</v>
      </c>
      <c r="V4" s="287">
        <f t="shared" si="52"/>
        <v>0</v>
      </c>
      <c r="W4" s="287">
        <f t="shared" si="53"/>
        <v>0</v>
      </c>
      <c r="X4" s="287">
        <f t="shared" si="54"/>
        <v>0</v>
      </c>
      <c r="Y4" s="287">
        <f t="shared" si="55"/>
        <v>0</v>
      </c>
      <c r="AA4" s="287">
        <f t="shared" si="56"/>
        <v>0</v>
      </c>
      <c r="AB4" s="287">
        <f t="shared" si="57"/>
        <v>0</v>
      </c>
      <c r="AC4" s="287">
        <f t="shared" si="58"/>
        <v>0</v>
      </c>
      <c r="AD4" s="287">
        <f t="shared" si="59"/>
        <v>0</v>
      </c>
      <c r="AE4" s="287">
        <f t="shared" si="60"/>
        <v>0</v>
      </c>
      <c r="AF4" s="287">
        <f t="shared" si="61"/>
        <v>0</v>
      </c>
      <c r="AG4" s="287">
        <f t="shared" si="62"/>
        <v>0</v>
      </c>
      <c r="AI4" s="287">
        <f t="shared" si="63"/>
        <v>0</v>
      </c>
      <c r="AJ4" s="287">
        <f t="shared" si="64"/>
        <v>0</v>
      </c>
      <c r="AK4" s="287">
        <f t="shared" si="65"/>
        <v>0</v>
      </c>
      <c r="AL4" s="287">
        <f t="shared" si="66"/>
        <v>0</v>
      </c>
      <c r="AM4" s="287">
        <f t="shared" si="67"/>
        <v>0</v>
      </c>
      <c r="AN4" s="287">
        <f t="shared" si="68"/>
        <v>0</v>
      </c>
      <c r="AO4" s="287">
        <f t="shared" si="69"/>
        <v>0</v>
      </c>
      <c r="AQ4" s="287">
        <f t="shared" si="70"/>
        <v>0</v>
      </c>
      <c r="AR4" s="287">
        <f t="shared" si="71"/>
        <v>0</v>
      </c>
      <c r="AS4" s="287">
        <f t="shared" si="72"/>
        <v>0</v>
      </c>
      <c r="AT4" s="287">
        <f t="shared" si="73"/>
        <v>0</v>
      </c>
      <c r="AU4" s="287">
        <f t="shared" si="74"/>
        <v>0</v>
      </c>
      <c r="AV4" s="287">
        <f t="shared" si="75"/>
        <v>0</v>
      </c>
      <c r="AW4" s="287">
        <f t="shared" si="76"/>
        <v>0</v>
      </c>
      <c r="AY4" s="287">
        <f t="shared" si="77"/>
        <v>0</v>
      </c>
      <c r="AZ4" s="287">
        <f t="shared" si="78"/>
        <v>0</v>
      </c>
      <c r="BA4" s="287">
        <f t="shared" si="79"/>
        <v>0</v>
      </c>
      <c r="BB4" s="287">
        <f t="shared" si="80"/>
        <v>0</v>
      </c>
      <c r="BC4" s="287">
        <f t="shared" si="81"/>
        <v>0</v>
      </c>
      <c r="BD4" s="287">
        <f t="shared" si="82"/>
        <v>0</v>
      </c>
      <c r="BE4" s="287">
        <f t="shared" si="83"/>
        <v>0</v>
      </c>
      <c r="BG4" s="287">
        <f t="shared" si="84"/>
        <v>0</v>
      </c>
      <c r="BH4" s="287">
        <f t="shared" si="85"/>
        <v>0</v>
      </c>
      <c r="BI4" s="287">
        <f t="shared" si="86"/>
        <v>0</v>
      </c>
      <c r="BJ4" s="287">
        <f t="shared" si="87"/>
        <v>0</v>
      </c>
      <c r="BK4" s="290">
        <f t="shared" si="41"/>
        <v>0</v>
      </c>
      <c r="BL4" s="287">
        <f t="shared" si="88"/>
        <v>0</v>
      </c>
      <c r="BN4" s="287">
        <f t="shared" si="89"/>
        <v>0</v>
      </c>
      <c r="BO4" s="287">
        <f t="shared" si="90"/>
        <v>0</v>
      </c>
      <c r="BP4" s="287">
        <f t="shared" si="91"/>
        <v>0</v>
      </c>
      <c r="BQ4" s="287">
        <f t="shared" si="92"/>
        <v>0</v>
      </c>
      <c r="BR4" s="290">
        <f t="shared" si="47"/>
        <v>0</v>
      </c>
      <c r="BS4" s="287">
        <f t="shared" si="93"/>
        <v>0</v>
      </c>
    </row>
    <row r="5" spans="1:71" s="288" customFormat="1" ht="18" customHeight="1" x14ac:dyDescent="0.25">
      <c r="A5" s="370" t="s">
        <v>126</v>
      </c>
      <c r="B5" s="370" t="str">
        <f>'ADO-4'!B$3:E$3</f>
        <v>Communication</v>
      </c>
      <c r="C5" s="799" t="str">
        <f>'ADO-4'!$B$8</f>
        <v>Agriculteurs</v>
      </c>
      <c r="D5" s="800" t="str">
        <f>'ADO-4'!$B$9</f>
        <v>Informations aux agriculteurs</v>
      </c>
      <c r="E5" s="800" t="str">
        <f>'ADO-4'!$B$4</f>
        <v>Agriculture</v>
      </c>
      <c r="F5" s="800" t="str">
        <f>'ADO-4'!$B$12</f>
        <v>AC MESSANCY</v>
      </c>
      <c r="G5" s="800" t="str">
        <f>'ADO-4'!$B$6</f>
        <v>Fonds propres</v>
      </c>
      <c r="H5" s="801">
        <f>'ADO-4'!$B$17</f>
        <v>2000</v>
      </c>
      <c r="I5" s="800" t="str">
        <f>'ADO-4'!$B$7</f>
        <v>Néant</v>
      </c>
      <c r="J5" s="801">
        <f>'ADO-4'!$B$18</f>
        <v>0</v>
      </c>
      <c r="K5" s="801">
        <f>'ADO-4'!$B$21</f>
        <v>1</v>
      </c>
      <c r="L5" s="801">
        <f>'ADO-4'!$B$22</f>
        <v>0</v>
      </c>
      <c r="M5" s="802">
        <f>'ADO-4'!$B$24</f>
        <v>2000</v>
      </c>
      <c r="N5" s="803">
        <f>'ADO-4'!$B$25</f>
        <v>0</v>
      </c>
      <c r="O5" s="804">
        <f t="shared" si="0"/>
        <v>0</v>
      </c>
      <c r="P5" s="805" t="str">
        <f>'ADO-4'!$B$5</f>
        <v>A faire</v>
      </c>
      <c r="Q5" s="806">
        <f>'ADO-4'!$B$16</f>
        <v>2022</v>
      </c>
      <c r="R5" s="807" t="str">
        <f t="shared" si="1"/>
        <v/>
      </c>
      <c r="S5" s="287">
        <f t="shared" si="49"/>
        <v>0</v>
      </c>
      <c r="T5" s="287">
        <f t="shared" si="50"/>
        <v>0</v>
      </c>
      <c r="U5" s="287">
        <f t="shared" si="51"/>
        <v>0</v>
      </c>
      <c r="V5" s="287">
        <f t="shared" si="52"/>
        <v>0</v>
      </c>
      <c r="W5" s="287">
        <f t="shared" si="53"/>
        <v>0</v>
      </c>
      <c r="X5" s="287">
        <f t="shared" si="54"/>
        <v>0</v>
      </c>
      <c r="Y5" s="287">
        <f t="shared" si="55"/>
        <v>0</v>
      </c>
      <c r="AA5" s="287">
        <f t="shared" si="56"/>
        <v>0</v>
      </c>
      <c r="AB5" s="287">
        <f t="shared" si="57"/>
        <v>0</v>
      </c>
      <c r="AC5" s="287">
        <f t="shared" si="58"/>
        <v>0</v>
      </c>
      <c r="AD5" s="287">
        <f t="shared" si="59"/>
        <v>0</v>
      </c>
      <c r="AE5" s="287">
        <f t="shared" si="60"/>
        <v>0</v>
      </c>
      <c r="AF5" s="287">
        <f t="shared" si="61"/>
        <v>0</v>
      </c>
      <c r="AG5" s="287">
        <f t="shared" si="62"/>
        <v>0</v>
      </c>
      <c r="AI5" s="287">
        <f t="shared" si="63"/>
        <v>0</v>
      </c>
      <c r="AJ5" s="287">
        <f t="shared" si="64"/>
        <v>0</v>
      </c>
      <c r="AK5" s="287">
        <f t="shared" si="65"/>
        <v>0</v>
      </c>
      <c r="AL5" s="287">
        <f t="shared" si="66"/>
        <v>0</v>
      </c>
      <c r="AM5" s="287">
        <f t="shared" si="67"/>
        <v>0</v>
      </c>
      <c r="AN5" s="287">
        <f t="shared" si="68"/>
        <v>0</v>
      </c>
      <c r="AO5" s="287">
        <f t="shared" si="69"/>
        <v>0</v>
      </c>
      <c r="AQ5" s="287">
        <f t="shared" si="70"/>
        <v>0</v>
      </c>
      <c r="AR5" s="287">
        <f t="shared" si="71"/>
        <v>0</v>
      </c>
      <c r="AS5" s="287">
        <f t="shared" si="72"/>
        <v>0</v>
      </c>
      <c r="AT5" s="287">
        <f t="shared" si="73"/>
        <v>0</v>
      </c>
      <c r="AU5" s="287">
        <f t="shared" si="74"/>
        <v>0</v>
      </c>
      <c r="AV5" s="287">
        <f t="shared" si="75"/>
        <v>0</v>
      </c>
      <c r="AW5" s="287">
        <f t="shared" si="76"/>
        <v>0</v>
      </c>
      <c r="AY5" s="287">
        <f t="shared" si="77"/>
        <v>0</v>
      </c>
      <c r="AZ5" s="287">
        <f t="shared" si="78"/>
        <v>0</v>
      </c>
      <c r="BA5" s="287">
        <f t="shared" si="79"/>
        <v>0</v>
      </c>
      <c r="BB5" s="287">
        <f t="shared" si="80"/>
        <v>0</v>
      </c>
      <c r="BC5" s="287">
        <f t="shared" si="81"/>
        <v>0</v>
      </c>
      <c r="BD5" s="287">
        <f t="shared" si="82"/>
        <v>0</v>
      </c>
      <c r="BE5" s="287">
        <f t="shared" si="83"/>
        <v>0</v>
      </c>
      <c r="BG5" s="287">
        <f t="shared" si="84"/>
        <v>0</v>
      </c>
      <c r="BH5" s="287">
        <f t="shared" si="85"/>
        <v>0</v>
      </c>
      <c r="BI5" s="287">
        <f t="shared" si="86"/>
        <v>0</v>
      </c>
      <c r="BJ5" s="287">
        <f t="shared" si="87"/>
        <v>0</v>
      </c>
      <c r="BK5" s="290">
        <f t="shared" si="41"/>
        <v>0</v>
      </c>
      <c r="BL5" s="287">
        <f t="shared" si="88"/>
        <v>0</v>
      </c>
      <c r="BN5" s="287">
        <f t="shared" si="89"/>
        <v>0</v>
      </c>
      <c r="BO5" s="287">
        <f t="shared" si="90"/>
        <v>0</v>
      </c>
      <c r="BP5" s="287">
        <f t="shared" si="91"/>
        <v>0</v>
      </c>
      <c r="BQ5" s="287">
        <f t="shared" si="92"/>
        <v>0</v>
      </c>
      <c r="BR5" s="290">
        <f t="shared" si="47"/>
        <v>0</v>
      </c>
      <c r="BS5" s="287">
        <f t="shared" si="93"/>
        <v>0</v>
      </c>
    </row>
    <row r="6" spans="1:71" s="288" customFormat="1" ht="18" customHeight="1" x14ac:dyDescent="0.25">
      <c r="A6" s="370" t="s">
        <v>132</v>
      </c>
      <c r="B6" s="370" t="str">
        <f>'ADO-5'!B$3:E$3</f>
        <v>Communication</v>
      </c>
      <c r="C6" s="799" t="str">
        <f>'ADO-5'!$B$8</f>
        <v>Entreprises tous secteurs</v>
      </c>
      <c r="D6" s="800" t="str">
        <f>'ADO-5'!$B$9</f>
        <v>Information aux entreprises</v>
      </c>
      <c r="E6" s="800" t="str">
        <f>'ADO-5'!$B$4</f>
        <v>Industrie</v>
      </c>
      <c r="F6" s="800" t="str">
        <f>'ADO-5'!$B$12</f>
        <v>AC MESSANCY</v>
      </c>
      <c r="G6" s="800" t="str">
        <f>'ADO-5'!$B$6</f>
        <v>Fonds propres</v>
      </c>
      <c r="H6" s="801">
        <f>'ADO-5'!$B$17</f>
        <v>2000</v>
      </c>
      <c r="I6" s="800" t="str">
        <f>'ADO-5'!$B$7</f>
        <v>Néant</v>
      </c>
      <c r="J6" s="801">
        <f>'ADO-5'!$B$18</f>
        <v>0</v>
      </c>
      <c r="K6" s="801">
        <f>'ADO-5'!$B$21</f>
        <v>1</v>
      </c>
      <c r="L6" s="801">
        <f>'ADO-5'!$B$22</f>
        <v>0</v>
      </c>
      <c r="M6" s="802">
        <f>'ADO-5'!$B$24</f>
        <v>2000</v>
      </c>
      <c r="N6" s="803">
        <f>'ADO-5'!$B$25</f>
        <v>0</v>
      </c>
      <c r="O6" s="804">
        <f t="shared" si="0"/>
        <v>0</v>
      </c>
      <c r="P6" s="805" t="str">
        <f>'ADO-5'!$B$5</f>
        <v>A faire</v>
      </c>
      <c r="Q6" s="806">
        <f>'ADO-5'!$B$16</f>
        <v>2022</v>
      </c>
      <c r="R6" s="807" t="str">
        <f t="shared" si="1"/>
        <v/>
      </c>
      <c r="S6" s="287">
        <f t="shared" si="49"/>
        <v>0</v>
      </c>
      <c r="T6" s="287">
        <f t="shared" si="50"/>
        <v>0</v>
      </c>
      <c r="U6" s="287">
        <f t="shared" si="51"/>
        <v>0</v>
      </c>
      <c r="V6" s="287">
        <f t="shared" si="52"/>
        <v>0</v>
      </c>
      <c r="W6" s="287">
        <f t="shared" si="53"/>
        <v>0</v>
      </c>
      <c r="X6" s="287">
        <f t="shared" si="54"/>
        <v>0</v>
      </c>
      <c r="Y6" s="287">
        <f t="shared" si="55"/>
        <v>0</v>
      </c>
      <c r="AA6" s="287">
        <f t="shared" si="56"/>
        <v>0</v>
      </c>
      <c r="AB6" s="287">
        <f t="shared" si="57"/>
        <v>0</v>
      </c>
      <c r="AC6" s="287">
        <f t="shared" si="58"/>
        <v>0</v>
      </c>
      <c r="AD6" s="287">
        <f t="shared" si="59"/>
        <v>0</v>
      </c>
      <c r="AE6" s="287">
        <f t="shared" si="60"/>
        <v>0</v>
      </c>
      <c r="AF6" s="287">
        <f t="shared" si="61"/>
        <v>0</v>
      </c>
      <c r="AG6" s="287">
        <f t="shared" si="62"/>
        <v>0</v>
      </c>
      <c r="AI6" s="287">
        <f t="shared" si="63"/>
        <v>0</v>
      </c>
      <c r="AJ6" s="287">
        <f t="shared" si="64"/>
        <v>0</v>
      </c>
      <c r="AK6" s="287">
        <f t="shared" si="65"/>
        <v>0</v>
      </c>
      <c r="AL6" s="287">
        <f t="shared" si="66"/>
        <v>0</v>
      </c>
      <c r="AM6" s="287">
        <f t="shared" si="67"/>
        <v>0</v>
      </c>
      <c r="AN6" s="287">
        <f t="shared" si="68"/>
        <v>0</v>
      </c>
      <c r="AO6" s="287">
        <f t="shared" si="69"/>
        <v>0</v>
      </c>
      <c r="AQ6" s="287">
        <f t="shared" si="70"/>
        <v>0</v>
      </c>
      <c r="AR6" s="287">
        <f t="shared" si="71"/>
        <v>0</v>
      </c>
      <c r="AS6" s="287">
        <f t="shared" si="72"/>
        <v>0</v>
      </c>
      <c r="AT6" s="287">
        <f t="shared" si="73"/>
        <v>0</v>
      </c>
      <c r="AU6" s="287">
        <f t="shared" si="74"/>
        <v>0</v>
      </c>
      <c r="AV6" s="287">
        <f t="shared" si="75"/>
        <v>0</v>
      </c>
      <c r="AW6" s="287">
        <f t="shared" si="76"/>
        <v>0</v>
      </c>
      <c r="AY6" s="287">
        <f t="shared" si="77"/>
        <v>0</v>
      </c>
      <c r="AZ6" s="287">
        <f t="shared" si="78"/>
        <v>0</v>
      </c>
      <c r="BA6" s="287">
        <f t="shared" si="79"/>
        <v>0</v>
      </c>
      <c r="BB6" s="287">
        <f t="shared" si="80"/>
        <v>0</v>
      </c>
      <c r="BC6" s="287">
        <f t="shared" si="81"/>
        <v>0</v>
      </c>
      <c r="BD6" s="287">
        <f t="shared" si="82"/>
        <v>0</v>
      </c>
      <c r="BE6" s="287">
        <f t="shared" si="83"/>
        <v>0</v>
      </c>
      <c r="BG6" s="287">
        <f t="shared" si="84"/>
        <v>0</v>
      </c>
      <c r="BH6" s="287">
        <f t="shared" si="85"/>
        <v>0</v>
      </c>
      <c r="BI6" s="287">
        <f t="shared" si="86"/>
        <v>0</v>
      </c>
      <c r="BJ6" s="287">
        <f t="shared" si="87"/>
        <v>0</v>
      </c>
      <c r="BK6" s="290">
        <f t="shared" si="41"/>
        <v>0</v>
      </c>
      <c r="BL6" s="287">
        <f t="shared" si="88"/>
        <v>0</v>
      </c>
      <c r="BN6" s="287">
        <f t="shared" si="89"/>
        <v>0</v>
      </c>
      <c r="BO6" s="287">
        <f t="shared" si="90"/>
        <v>0</v>
      </c>
      <c r="BP6" s="287">
        <f t="shared" si="91"/>
        <v>0</v>
      </c>
      <c r="BQ6" s="287">
        <f t="shared" si="92"/>
        <v>0</v>
      </c>
      <c r="BR6" s="290">
        <f t="shared" si="47"/>
        <v>0</v>
      </c>
      <c r="BS6" s="287">
        <f t="shared" si="93"/>
        <v>0</v>
      </c>
    </row>
    <row r="7" spans="1:71" s="288" customFormat="1" ht="18" customHeight="1" x14ac:dyDescent="0.25">
      <c r="A7" s="370" t="s">
        <v>131</v>
      </c>
      <c r="B7" s="370" t="str">
        <f>'ADO-6'!B$3:E$3</f>
        <v>Communication</v>
      </c>
      <c r="C7" s="799" t="str">
        <f>'ADO-6'!$B$8</f>
        <v>Bâtiments communaux</v>
      </c>
      <c r="D7" s="800" t="str">
        <f>'ADO-6'!$B$9</f>
        <v>Suivi de la consommation énergétique</v>
      </c>
      <c r="E7" s="800" t="str">
        <f>'ADO-6'!$B$4</f>
        <v>Communal</v>
      </c>
      <c r="F7" s="800" t="str">
        <f>'ADO-6'!$B$12</f>
        <v>AC MESSANCY</v>
      </c>
      <c r="G7" s="800" t="str">
        <f>'ADO-6'!$B$6</f>
        <v>Fonds propres</v>
      </c>
      <c r="H7" s="801">
        <f>'ADO-6'!$B$17</f>
        <v>1000</v>
      </c>
      <c r="I7" s="800" t="str">
        <f>'ADO-6'!$B$7</f>
        <v>Néant</v>
      </c>
      <c r="J7" s="801">
        <f>'ADO-6'!$B$18</f>
        <v>0</v>
      </c>
      <c r="K7" s="801">
        <f>'ADO-6'!$B$21</f>
        <v>1</v>
      </c>
      <c r="L7" s="801">
        <f>'ADO-6'!$B$22</f>
        <v>0</v>
      </c>
      <c r="M7" s="802">
        <f>'ADO-6'!$B$24</f>
        <v>1000</v>
      </c>
      <c r="N7" s="803">
        <f>'ADO-6'!$B$25</f>
        <v>0</v>
      </c>
      <c r="O7" s="804">
        <f t="shared" si="0"/>
        <v>0</v>
      </c>
      <c r="P7" s="805" t="str">
        <f>'ADO-6'!$B$5</f>
        <v>Terminé</v>
      </c>
      <c r="Q7" s="806">
        <f>'ADO-6'!$B$16</f>
        <v>2018</v>
      </c>
      <c r="R7" s="807">
        <f t="shared" si="1"/>
        <v>0</v>
      </c>
      <c r="S7" s="287">
        <f t="shared" si="49"/>
        <v>0</v>
      </c>
      <c r="T7" s="287">
        <f t="shared" si="50"/>
        <v>0</v>
      </c>
      <c r="U7" s="287">
        <f t="shared" si="51"/>
        <v>0</v>
      </c>
      <c r="V7" s="287">
        <f t="shared" si="52"/>
        <v>0</v>
      </c>
      <c r="W7" s="287">
        <f t="shared" si="53"/>
        <v>0</v>
      </c>
      <c r="X7" s="287">
        <f t="shared" si="54"/>
        <v>0</v>
      </c>
      <c r="Y7" s="287">
        <f t="shared" si="55"/>
        <v>0</v>
      </c>
      <c r="AA7" s="287">
        <f t="shared" si="56"/>
        <v>0</v>
      </c>
      <c r="AB7" s="287">
        <f t="shared" si="57"/>
        <v>0</v>
      </c>
      <c r="AC7" s="287">
        <f t="shared" si="58"/>
        <v>0</v>
      </c>
      <c r="AD7" s="287">
        <f t="shared" si="59"/>
        <v>0</v>
      </c>
      <c r="AE7" s="287">
        <f t="shared" si="60"/>
        <v>0</v>
      </c>
      <c r="AF7" s="287">
        <f t="shared" si="61"/>
        <v>0</v>
      </c>
      <c r="AG7" s="287">
        <f t="shared" si="62"/>
        <v>1000</v>
      </c>
      <c r="AI7" s="287">
        <f t="shared" si="63"/>
        <v>0</v>
      </c>
      <c r="AJ7" s="287">
        <f t="shared" si="64"/>
        <v>0</v>
      </c>
      <c r="AK7" s="287">
        <f t="shared" si="65"/>
        <v>0</v>
      </c>
      <c r="AL7" s="287">
        <f t="shared" si="66"/>
        <v>0</v>
      </c>
      <c r="AM7" s="287">
        <f t="shared" si="67"/>
        <v>0</v>
      </c>
      <c r="AN7" s="287">
        <f t="shared" si="68"/>
        <v>0</v>
      </c>
      <c r="AO7" s="287">
        <f t="shared" si="69"/>
        <v>0</v>
      </c>
      <c r="AQ7" s="287">
        <f t="shared" si="70"/>
        <v>0</v>
      </c>
      <c r="AR7" s="287">
        <f t="shared" si="71"/>
        <v>0</v>
      </c>
      <c r="AS7" s="287">
        <f t="shared" si="72"/>
        <v>0</v>
      </c>
      <c r="AT7" s="287">
        <f t="shared" si="73"/>
        <v>0</v>
      </c>
      <c r="AU7" s="287">
        <f t="shared" si="74"/>
        <v>0</v>
      </c>
      <c r="AV7" s="287">
        <f t="shared" si="75"/>
        <v>0</v>
      </c>
      <c r="AW7" s="287">
        <f t="shared" si="76"/>
        <v>1</v>
      </c>
      <c r="AY7" s="287">
        <f t="shared" si="77"/>
        <v>0</v>
      </c>
      <c r="AZ7" s="287">
        <f t="shared" si="78"/>
        <v>0</v>
      </c>
      <c r="BA7" s="287">
        <f t="shared" si="79"/>
        <v>0</v>
      </c>
      <c r="BB7" s="287">
        <f t="shared" si="80"/>
        <v>0</v>
      </c>
      <c r="BC7" s="287">
        <f t="shared" si="81"/>
        <v>0</v>
      </c>
      <c r="BD7" s="287">
        <f t="shared" si="82"/>
        <v>0</v>
      </c>
      <c r="BE7" s="287">
        <f t="shared" si="83"/>
        <v>0</v>
      </c>
      <c r="BG7" s="287">
        <f t="shared" si="84"/>
        <v>0</v>
      </c>
      <c r="BH7" s="287">
        <f t="shared" si="85"/>
        <v>0</v>
      </c>
      <c r="BI7" s="287">
        <f t="shared" si="86"/>
        <v>0</v>
      </c>
      <c r="BJ7" s="287">
        <f t="shared" si="87"/>
        <v>0</v>
      </c>
      <c r="BK7" s="290">
        <f t="shared" si="41"/>
        <v>1000</v>
      </c>
      <c r="BL7" s="287">
        <f t="shared" si="88"/>
        <v>0</v>
      </c>
      <c r="BN7" s="287">
        <f t="shared" si="89"/>
        <v>0</v>
      </c>
      <c r="BO7" s="287">
        <f t="shared" si="90"/>
        <v>0</v>
      </c>
      <c r="BP7" s="287">
        <f t="shared" si="91"/>
        <v>0</v>
      </c>
      <c r="BQ7" s="287">
        <f t="shared" si="92"/>
        <v>0</v>
      </c>
      <c r="BR7" s="290">
        <f t="shared" si="47"/>
        <v>0</v>
      </c>
      <c r="BS7" s="287">
        <f t="shared" si="93"/>
        <v>0</v>
      </c>
    </row>
    <row r="8" spans="1:71" s="288" customFormat="1" ht="18" customHeight="1" x14ac:dyDescent="0.25">
      <c r="A8" s="370" t="s">
        <v>125</v>
      </c>
      <c r="B8" s="370" t="str">
        <f>'ADO-7'!B$3:E$3</f>
        <v>Communication</v>
      </c>
      <c r="C8" s="799" t="str">
        <f>'ADO-7'!$B$8</f>
        <v>Bâtiments communaux</v>
      </c>
      <c r="D8" s="800" t="str">
        <f>'ADO-7'!$B$9</f>
        <v>Audits énergétiques</v>
      </c>
      <c r="E8" s="800" t="str">
        <f>'ADO-7'!$B$4</f>
        <v>Communal</v>
      </c>
      <c r="F8" s="800" t="str">
        <f>'ADO-7'!$B$12</f>
        <v>AC MESSANCY</v>
      </c>
      <c r="G8" s="800" t="str">
        <f>'ADO-7'!$B$6</f>
        <v>Fonds propres</v>
      </c>
      <c r="H8" s="801">
        <f>'ADO-7'!$B$17</f>
        <v>50000</v>
      </c>
      <c r="I8" s="800" t="str">
        <f>'ADO-7'!$B$7</f>
        <v>Subs RW</v>
      </c>
      <c r="J8" s="801">
        <f>'ADO-7'!$B$18</f>
        <v>27500.000000000004</v>
      </c>
      <c r="K8" s="801">
        <f>'ADO-7'!$B$21</f>
        <v>1</v>
      </c>
      <c r="L8" s="801">
        <f>'ADO-7'!$B$22</f>
        <v>0</v>
      </c>
      <c r="M8" s="802">
        <f>'ADO-7'!$B$24</f>
        <v>22499.999999999996</v>
      </c>
      <c r="N8" s="803">
        <f>'ADO-7'!$B$25</f>
        <v>0</v>
      </c>
      <c r="O8" s="804">
        <f>IF(H8=0,0,N8/(H8-J8)*1000)</f>
        <v>0</v>
      </c>
      <c r="P8" s="805" t="str">
        <f>'ADO-7'!$B$5</f>
        <v>A faire</v>
      </c>
      <c r="Q8" s="806">
        <f>'ADO-7'!$B$16</f>
        <v>2025</v>
      </c>
      <c r="R8" s="807" t="str">
        <f>IF(P8="terminé", N8,"")</f>
        <v/>
      </c>
      <c r="S8" s="287">
        <f t="shared" si="49"/>
        <v>0</v>
      </c>
      <c r="T8" s="287">
        <f t="shared" si="50"/>
        <v>0</v>
      </c>
      <c r="U8" s="287">
        <f t="shared" si="51"/>
        <v>0</v>
      </c>
      <c r="V8" s="287">
        <f t="shared" si="52"/>
        <v>0</v>
      </c>
      <c r="W8" s="287">
        <f t="shared" si="53"/>
        <v>0</v>
      </c>
      <c r="X8" s="287">
        <f t="shared" si="54"/>
        <v>0</v>
      </c>
      <c r="Y8" s="287">
        <f t="shared" si="55"/>
        <v>0</v>
      </c>
      <c r="AA8" s="287">
        <f t="shared" si="56"/>
        <v>0</v>
      </c>
      <c r="AB8" s="287">
        <f t="shared" si="57"/>
        <v>0</v>
      </c>
      <c r="AC8" s="287">
        <f t="shared" si="58"/>
        <v>0</v>
      </c>
      <c r="AD8" s="287">
        <f t="shared" si="59"/>
        <v>0</v>
      </c>
      <c r="AE8" s="287">
        <f t="shared" si="60"/>
        <v>0</v>
      </c>
      <c r="AF8" s="287">
        <f t="shared" si="61"/>
        <v>0</v>
      </c>
      <c r="AG8" s="287">
        <f t="shared" si="62"/>
        <v>0</v>
      </c>
      <c r="AI8" s="287">
        <f t="shared" si="63"/>
        <v>0</v>
      </c>
      <c r="AJ8" s="287">
        <f t="shared" si="64"/>
        <v>0</v>
      </c>
      <c r="AK8" s="287">
        <f t="shared" si="65"/>
        <v>0</v>
      </c>
      <c r="AL8" s="287">
        <f t="shared" si="66"/>
        <v>0</v>
      </c>
      <c r="AM8" s="287">
        <f t="shared" si="67"/>
        <v>0</v>
      </c>
      <c r="AN8" s="287">
        <f t="shared" si="68"/>
        <v>0</v>
      </c>
      <c r="AO8" s="287">
        <f t="shared" si="69"/>
        <v>0</v>
      </c>
      <c r="AQ8" s="287">
        <f t="shared" si="70"/>
        <v>0</v>
      </c>
      <c r="AR8" s="287">
        <f t="shared" si="71"/>
        <v>0</v>
      </c>
      <c r="AS8" s="287">
        <f t="shared" si="72"/>
        <v>0</v>
      </c>
      <c r="AT8" s="287">
        <f t="shared" si="73"/>
        <v>0</v>
      </c>
      <c r="AU8" s="287">
        <f t="shared" si="74"/>
        <v>0</v>
      </c>
      <c r="AV8" s="287">
        <f t="shared" si="75"/>
        <v>0</v>
      </c>
      <c r="AW8" s="287">
        <f t="shared" si="76"/>
        <v>0</v>
      </c>
      <c r="AY8" s="287">
        <f t="shared" si="77"/>
        <v>0</v>
      </c>
      <c r="AZ8" s="287">
        <f t="shared" si="78"/>
        <v>0</v>
      </c>
      <c r="BA8" s="287">
        <f t="shared" si="79"/>
        <v>0</v>
      </c>
      <c r="BB8" s="287">
        <f t="shared" si="80"/>
        <v>0</v>
      </c>
      <c r="BC8" s="287">
        <f t="shared" si="81"/>
        <v>0</v>
      </c>
      <c r="BD8" s="287">
        <f t="shared" si="82"/>
        <v>0</v>
      </c>
      <c r="BE8" s="287">
        <f t="shared" si="83"/>
        <v>0</v>
      </c>
      <c r="BG8" s="287">
        <f t="shared" si="84"/>
        <v>0</v>
      </c>
      <c r="BH8" s="287">
        <f t="shared" si="85"/>
        <v>0</v>
      </c>
      <c r="BI8" s="287">
        <f t="shared" si="86"/>
        <v>0</v>
      </c>
      <c r="BJ8" s="287">
        <f t="shared" si="87"/>
        <v>0</v>
      </c>
      <c r="BK8" s="290">
        <f t="shared" si="41"/>
        <v>0</v>
      </c>
      <c r="BL8" s="287">
        <f t="shared" si="88"/>
        <v>0</v>
      </c>
      <c r="BN8" s="287">
        <f t="shared" si="89"/>
        <v>0</v>
      </c>
      <c r="BO8" s="287">
        <f t="shared" si="90"/>
        <v>0</v>
      </c>
      <c r="BP8" s="287">
        <f t="shared" si="91"/>
        <v>0</v>
      </c>
      <c r="BQ8" s="287">
        <f t="shared" si="92"/>
        <v>0</v>
      </c>
      <c r="BR8" s="290">
        <f t="shared" si="47"/>
        <v>0</v>
      </c>
      <c r="BS8" s="287">
        <f t="shared" si="93"/>
        <v>0</v>
      </c>
    </row>
    <row r="9" spans="1:71" s="288" customFormat="1" ht="18" customHeight="1" x14ac:dyDescent="0.25">
      <c r="A9" s="370" t="s">
        <v>134</v>
      </c>
      <c r="B9" s="370" t="str">
        <f>'ADO-8'!B$3:E$3</f>
        <v>Communication</v>
      </c>
      <c r="C9" s="799" t="str">
        <f>'ADO-8'!$B$8</f>
        <v>Grand public</v>
      </c>
      <c r="D9" s="800" t="str">
        <f>'ADO-8'!$B$9</f>
        <v>Page WEB</v>
      </c>
      <c r="E9" s="800" t="str">
        <f>'ADO-8'!$B$4</f>
        <v>Communal</v>
      </c>
      <c r="F9" s="800" t="str">
        <f>'ADO-8'!$B$12</f>
        <v>AC MESSANCY</v>
      </c>
      <c r="G9" s="800" t="str">
        <f>'ADO-8'!$B$6</f>
        <v>Fonds propres</v>
      </c>
      <c r="H9" s="801">
        <f>'ADO-8'!$B$17</f>
        <v>1000</v>
      </c>
      <c r="I9" s="800" t="str">
        <f>'ADO-8'!$B$7</f>
        <v>Néant</v>
      </c>
      <c r="J9" s="801">
        <f>'ADO-8'!$B$18</f>
        <v>0</v>
      </c>
      <c r="K9" s="801">
        <f>'ADO-8'!$B$21</f>
        <v>1</v>
      </c>
      <c r="L9" s="801">
        <f>'ADO-8'!$B$22</f>
        <v>0</v>
      </c>
      <c r="M9" s="802">
        <f>'ADO-8'!$B$24</f>
        <v>1000</v>
      </c>
      <c r="N9" s="803">
        <f>'ADO-8'!$B$25</f>
        <v>0</v>
      </c>
      <c r="O9" s="804">
        <f>IF(H9=0,0,N9/(H9-J9)*1000)</f>
        <v>0</v>
      </c>
      <c r="P9" s="805" t="str">
        <f>'ADO-8'!$B$5</f>
        <v>A faire</v>
      </c>
      <c r="Q9" s="806">
        <f>'ADO-8'!$B$16</f>
        <v>2020</v>
      </c>
      <c r="R9" s="807" t="str">
        <f>IF(P9="terminé", N9,"")</f>
        <v/>
      </c>
      <c r="S9" s="287">
        <f t="shared" si="49"/>
        <v>0</v>
      </c>
      <c r="T9" s="287">
        <f t="shared" si="50"/>
        <v>0</v>
      </c>
      <c r="U9" s="287">
        <f t="shared" si="51"/>
        <v>0</v>
      </c>
      <c r="V9" s="287">
        <f t="shared" si="52"/>
        <v>0</v>
      </c>
      <c r="W9" s="287">
        <f t="shared" si="53"/>
        <v>0</v>
      </c>
      <c r="X9" s="287">
        <f t="shared" si="54"/>
        <v>0</v>
      </c>
      <c r="Y9" s="287">
        <f t="shared" si="55"/>
        <v>0</v>
      </c>
      <c r="AA9" s="287">
        <f t="shared" si="56"/>
        <v>0</v>
      </c>
      <c r="AB9" s="287">
        <f t="shared" si="57"/>
        <v>0</v>
      </c>
      <c r="AC9" s="287">
        <f t="shared" si="58"/>
        <v>0</v>
      </c>
      <c r="AD9" s="287">
        <f t="shared" si="59"/>
        <v>0</v>
      </c>
      <c r="AE9" s="287">
        <f t="shared" si="60"/>
        <v>0</v>
      </c>
      <c r="AF9" s="287">
        <f t="shared" si="61"/>
        <v>0</v>
      </c>
      <c r="AG9" s="287">
        <f t="shared" si="62"/>
        <v>0</v>
      </c>
      <c r="AI9" s="287">
        <f t="shared" si="63"/>
        <v>0</v>
      </c>
      <c r="AJ9" s="287">
        <f t="shared" si="64"/>
        <v>0</v>
      </c>
      <c r="AK9" s="287">
        <f t="shared" si="65"/>
        <v>0</v>
      </c>
      <c r="AL9" s="287">
        <f t="shared" si="66"/>
        <v>0</v>
      </c>
      <c r="AM9" s="287">
        <f t="shared" si="67"/>
        <v>0</v>
      </c>
      <c r="AN9" s="287">
        <f t="shared" si="68"/>
        <v>0</v>
      </c>
      <c r="AO9" s="287">
        <f t="shared" si="69"/>
        <v>0</v>
      </c>
      <c r="AQ9" s="287">
        <f t="shared" si="70"/>
        <v>0</v>
      </c>
      <c r="AR9" s="287">
        <f t="shared" si="71"/>
        <v>0</v>
      </c>
      <c r="AS9" s="287">
        <f t="shared" si="72"/>
        <v>0</v>
      </c>
      <c r="AT9" s="287">
        <f t="shared" si="73"/>
        <v>0</v>
      </c>
      <c r="AU9" s="287">
        <f t="shared" si="74"/>
        <v>0</v>
      </c>
      <c r="AV9" s="287">
        <f t="shared" si="75"/>
        <v>0</v>
      </c>
      <c r="AW9" s="287">
        <f t="shared" si="76"/>
        <v>0</v>
      </c>
      <c r="AY9" s="287">
        <f t="shared" si="77"/>
        <v>0</v>
      </c>
      <c r="AZ9" s="287">
        <f t="shared" si="78"/>
        <v>0</v>
      </c>
      <c r="BA9" s="287">
        <f t="shared" si="79"/>
        <v>0</v>
      </c>
      <c r="BB9" s="287">
        <f t="shared" si="80"/>
        <v>0</v>
      </c>
      <c r="BC9" s="287">
        <f t="shared" si="81"/>
        <v>0</v>
      </c>
      <c r="BD9" s="287">
        <f t="shared" si="82"/>
        <v>0</v>
      </c>
      <c r="BE9" s="287">
        <f t="shared" si="83"/>
        <v>0</v>
      </c>
      <c r="BG9" s="287">
        <f t="shared" si="84"/>
        <v>0</v>
      </c>
      <c r="BH9" s="287">
        <f t="shared" si="85"/>
        <v>0</v>
      </c>
      <c r="BI9" s="287">
        <f t="shared" si="86"/>
        <v>0</v>
      </c>
      <c r="BJ9" s="287">
        <f t="shared" si="87"/>
        <v>0</v>
      </c>
      <c r="BK9" s="290">
        <f t="shared" si="41"/>
        <v>0</v>
      </c>
      <c r="BL9" s="287">
        <f t="shared" si="88"/>
        <v>0</v>
      </c>
      <c r="BN9" s="287">
        <f t="shared" si="89"/>
        <v>0</v>
      </c>
      <c r="BO9" s="287">
        <f t="shared" si="90"/>
        <v>0</v>
      </c>
      <c r="BP9" s="287">
        <f t="shared" si="91"/>
        <v>0</v>
      </c>
      <c r="BQ9" s="287">
        <f t="shared" si="92"/>
        <v>0</v>
      </c>
      <c r="BR9" s="290">
        <f t="shared" si="47"/>
        <v>0</v>
      </c>
      <c r="BS9" s="287">
        <f t="shared" si="93"/>
        <v>0</v>
      </c>
    </row>
    <row r="10" spans="1:71" s="288" customFormat="1" ht="18" customHeight="1" x14ac:dyDescent="0.25">
      <c r="A10" s="370" t="s">
        <v>135</v>
      </c>
      <c r="B10" s="370" t="str">
        <f>'ADO-9'!B$3:E$3</f>
        <v>Communication</v>
      </c>
      <c r="C10" s="799" t="str">
        <f>'ADO-9'!$B$8</f>
        <v>Ecoles</v>
      </c>
      <c r="D10" s="800" t="str">
        <f>'ADO-9'!$B$9</f>
        <v>Outils de sensibilisation</v>
      </c>
      <c r="E10" s="800" t="str">
        <f>'ADO-9'!$B$4</f>
        <v>Communal</v>
      </c>
      <c r="F10" s="800" t="str">
        <f>'ADO-9'!$B$12</f>
        <v>AC MESSANCY</v>
      </c>
      <c r="G10" s="800" t="str">
        <f>'ADO-9'!$B$6</f>
        <v>Fonds propres</v>
      </c>
      <c r="H10" s="801">
        <f>'ADO-9'!$B$17</f>
        <v>5000</v>
      </c>
      <c r="I10" s="800" t="str">
        <f>'ADO-9'!$B$7</f>
        <v>Néant</v>
      </c>
      <c r="J10" s="801">
        <f>'ADO-9'!$B$18</f>
        <v>0</v>
      </c>
      <c r="K10" s="801">
        <f>'ADO-9'!$B$21</f>
        <v>1</v>
      </c>
      <c r="L10" s="801">
        <f>'ADO-9'!$B$22</f>
        <v>0</v>
      </c>
      <c r="M10" s="802">
        <f>'ADO-9'!$B$24</f>
        <v>5000</v>
      </c>
      <c r="N10" s="803">
        <f>'ADO-9'!$B$25</f>
        <v>0</v>
      </c>
      <c r="O10" s="804">
        <f>IF(H10=0,0,N10/(H10-J10)*1000)</f>
        <v>0</v>
      </c>
      <c r="P10" s="805" t="str">
        <f>'ADO-9'!$B$5</f>
        <v>A faire</v>
      </c>
      <c r="Q10" s="806">
        <f>'ADO-9'!$B$16</f>
        <v>2022</v>
      </c>
      <c r="R10" s="807" t="str">
        <f>IF(P10="terminé", N10,"")</f>
        <v/>
      </c>
      <c r="S10" s="287">
        <f t="shared" si="49"/>
        <v>0</v>
      </c>
      <c r="T10" s="287">
        <f t="shared" si="50"/>
        <v>0</v>
      </c>
      <c r="U10" s="287">
        <f t="shared" si="51"/>
        <v>0</v>
      </c>
      <c r="V10" s="287">
        <f t="shared" si="52"/>
        <v>0</v>
      </c>
      <c r="W10" s="287">
        <f t="shared" si="53"/>
        <v>0</v>
      </c>
      <c r="X10" s="287">
        <f t="shared" si="54"/>
        <v>0</v>
      </c>
      <c r="Y10" s="287">
        <f t="shared" si="55"/>
        <v>0</v>
      </c>
      <c r="AA10" s="287">
        <f t="shared" si="56"/>
        <v>0</v>
      </c>
      <c r="AB10" s="287">
        <f t="shared" si="57"/>
        <v>0</v>
      </c>
      <c r="AC10" s="287">
        <f t="shared" si="58"/>
        <v>0</v>
      </c>
      <c r="AD10" s="287">
        <f t="shared" si="59"/>
        <v>0</v>
      </c>
      <c r="AE10" s="287">
        <f t="shared" si="60"/>
        <v>0</v>
      </c>
      <c r="AF10" s="287">
        <f t="shared" si="61"/>
        <v>0</v>
      </c>
      <c r="AG10" s="287">
        <f t="shared" si="62"/>
        <v>0</v>
      </c>
      <c r="AI10" s="287">
        <f t="shared" si="63"/>
        <v>0</v>
      </c>
      <c r="AJ10" s="287">
        <f t="shared" si="64"/>
        <v>0</v>
      </c>
      <c r="AK10" s="287">
        <f t="shared" si="65"/>
        <v>0</v>
      </c>
      <c r="AL10" s="287">
        <f t="shared" si="66"/>
        <v>0</v>
      </c>
      <c r="AM10" s="287">
        <f t="shared" si="67"/>
        <v>0</v>
      </c>
      <c r="AN10" s="287">
        <f t="shared" si="68"/>
        <v>0</v>
      </c>
      <c r="AO10" s="287">
        <f t="shared" si="69"/>
        <v>0</v>
      </c>
      <c r="AQ10" s="287">
        <f t="shared" si="70"/>
        <v>0</v>
      </c>
      <c r="AR10" s="287">
        <f t="shared" si="71"/>
        <v>0</v>
      </c>
      <c r="AS10" s="287">
        <f t="shared" si="72"/>
        <v>0</v>
      </c>
      <c r="AT10" s="287">
        <f t="shared" si="73"/>
        <v>0</v>
      </c>
      <c r="AU10" s="287">
        <f t="shared" si="74"/>
        <v>0</v>
      </c>
      <c r="AV10" s="287">
        <f t="shared" si="75"/>
        <v>0</v>
      </c>
      <c r="AW10" s="287">
        <f t="shared" si="76"/>
        <v>0</v>
      </c>
      <c r="AY10" s="287">
        <f t="shared" si="77"/>
        <v>0</v>
      </c>
      <c r="AZ10" s="287">
        <f t="shared" si="78"/>
        <v>0</v>
      </c>
      <c r="BA10" s="287">
        <f t="shared" si="79"/>
        <v>0</v>
      </c>
      <c r="BB10" s="287">
        <f t="shared" si="80"/>
        <v>0</v>
      </c>
      <c r="BC10" s="287">
        <f t="shared" si="81"/>
        <v>0</v>
      </c>
      <c r="BD10" s="287">
        <f t="shared" si="82"/>
        <v>0</v>
      </c>
      <c r="BE10" s="287">
        <f t="shared" si="83"/>
        <v>0</v>
      </c>
      <c r="BG10" s="287">
        <f t="shared" si="84"/>
        <v>0</v>
      </c>
      <c r="BH10" s="287">
        <f t="shared" si="85"/>
        <v>0</v>
      </c>
      <c r="BI10" s="287">
        <f t="shared" si="86"/>
        <v>0</v>
      </c>
      <c r="BJ10" s="287">
        <f t="shared" si="87"/>
        <v>0</v>
      </c>
      <c r="BK10" s="290">
        <f t="shared" si="41"/>
        <v>0</v>
      </c>
      <c r="BL10" s="287">
        <f t="shared" si="88"/>
        <v>0</v>
      </c>
      <c r="BN10" s="287">
        <f t="shared" si="89"/>
        <v>0</v>
      </c>
      <c r="BO10" s="287">
        <f t="shared" si="90"/>
        <v>0</v>
      </c>
      <c r="BP10" s="287">
        <f t="shared" si="91"/>
        <v>0</v>
      </c>
      <c r="BQ10" s="287">
        <f t="shared" si="92"/>
        <v>0</v>
      </c>
      <c r="BR10" s="290">
        <f t="shared" si="47"/>
        <v>0</v>
      </c>
      <c r="BS10" s="287">
        <f t="shared" si="93"/>
        <v>0</v>
      </c>
    </row>
    <row r="11" spans="1:71" s="288" customFormat="1" ht="18" customHeight="1" x14ac:dyDescent="0.25">
      <c r="A11" s="370" t="s">
        <v>244</v>
      </c>
      <c r="B11" s="370" t="str">
        <f>'ADO-10'!B$3:E$3</f>
        <v>Communication</v>
      </c>
      <c r="C11" s="799" t="str">
        <f>'ADO-10'!$B$8</f>
        <v>Tous publics</v>
      </c>
      <c r="D11" s="800" t="str">
        <f>'ADO-10'!$B$9</f>
        <v>Visites de terrain</v>
      </c>
      <c r="E11" s="800" t="str">
        <f>'ADO-10'!$B$4</f>
        <v>Communal</v>
      </c>
      <c r="F11" s="800" t="str">
        <f>'ADO-10'!$B$12</f>
        <v>AC MESSANCY</v>
      </c>
      <c r="G11" s="800" t="str">
        <f>'ADO-10'!$B$6</f>
        <v>Fonds propres</v>
      </c>
      <c r="H11" s="801">
        <f>'ADO-10'!$B$17</f>
        <v>5000</v>
      </c>
      <c r="I11" s="800" t="str">
        <f>'ADO-10'!$B$7</f>
        <v>Néant</v>
      </c>
      <c r="J11" s="801">
        <f>'ADO-10'!$B$18</f>
        <v>0</v>
      </c>
      <c r="K11" s="801">
        <f>'ADO-10'!$B$21</f>
        <v>1</v>
      </c>
      <c r="L11" s="801">
        <f>'ADO-10'!$B$22</f>
        <v>0</v>
      </c>
      <c r="M11" s="802">
        <f>'ADO-10'!$B$24</f>
        <v>5000</v>
      </c>
      <c r="N11" s="803">
        <f>'ADO-10'!$B$25</f>
        <v>0</v>
      </c>
      <c r="O11" s="804">
        <f t="shared" ref="O11:O12" si="94">IF(H11=0,0,N11/(H11-J11)*1000)</f>
        <v>0</v>
      </c>
      <c r="P11" s="805" t="str">
        <f>'ADO-10'!$B$5</f>
        <v>A faire</v>
      </c>
      <c r="Q11" s="806">
        <f>'ADO-10'!$B$16</f>
        <v>2030</v>
      </c>
      <c r="R11" s="807" t="str">
        <f t="shared" ref="R11:R12" si="95">IF(P11="terminé", N11,"")</f>
        <v/>
      </c>
      <c r="S11" s="287">
        <f t="shared" ref="S11:S12" si="96">IF((P11="Terminé")*AND(E11="Territoire"),N11,0)</f>
        <v>0</v>
      </c>
      <c r="T11" s="287">
        <f t="shared" ref="T11:T12" si="97">IF((P11="Terminé")*AND(E11="Agriculture"),N11,0)</f>
        <v>0</v>
      </c>
      <c r="U11" s="287">
        <f t="shared" ref="U11:U12" si="98">IF((P11="Terminé")*AND(E11="Industrie"), N11,0)</f>
        <v>0</v>
      </c>
      <c r="V11" s="287">
        <f t="shared" ref="V11:V12" si="99">IF((P11="Terminé")*AND(E11="Logement"),N11,0)</f>
        <v>0</v>
      </c>
      <c r="W11" s="287">
        <f t="shared" ref="W11:W12" si="100">IF((P11="Terminé")*AND(E11="Tertiaire"),N11,0)</f>
        <v>0</v>
      </c>
      <c r="X11" s="287">
        <f t="shared" ref="X11:X12" si="101">IF((P11="Terminé")*AND(E11="Transport"),N11,0)</f>
        <v>0</v>
      </c>
      <c r="Y11" s="287">
        <f t="shared" ref="Y11:Y12" si="102">IF((P11="Terminé")*AND(E11="Communal"),N11,0)</f>
        <v>0</v>
      </c>
      <c r="AA11" s="287">
        <f t="shared" ref="AA11:AA12" si="103">IF((P11="Terminé")*AND(E11="Territoire"),H11,0)</f>
        <v>0</v>
      </c>
      <c r="AB11" s="287">
        <f t="shared" ref="AB11:AB12" si="104">IF((P11="Terminé")*AND(E11="Agriculture"),H11,0)</f>
        <v>0</v>
      </c>
      <c r="AC11" s="287">
        <f t="shared" ref="AC11:AC12" si="105">IF((P11="Terminé")*AND(E11="Industrie"), H11,0)</f>
        <v>0</v>
      </c>
      <c r="AD11" s="287">
        <f t="shared" ref="AD11:AD12" si="106">IF((P11="Terminé")*AND(E11="Logement"), H11,0)</f>
        <v>0</v>
      </c>
      <c r="AE11" s="287">
        <f t="shared" ref="AE11:AE12" si="107">IF((P11="Terminé")*AND(E11="Tertiaire"),H11,0)</f>
        <v>0</v>
      </c>
      <c r="AF11" s="287">
        <f t="shared" ref="AF11:AF12" si="108">IF((P11="Terminé")*AND(E11="Transport"),H11,0)</f>
        <v>0</v>
      </c>
      <c r="AG11" s="287">
        <f t="shared" ref="AG11:AG12" si="109">IF((P11="Terminé")*AND(E11="Communal"),H11,0)</f>
        <v>0</v>
      </c>
      <c r="AI11" s="287">
        <f t="shared" ref="AI11:AI12" si="110">IF((P11="Terminé")*AND(E11="Territoire"),J11,0)</f>
        <v>0</v>
      </c>
      <c r="AJ11" s="287">
        <f t="shared" ref="AJ11:AJ12" si="111">IF((P11="Terminé")*AND(E11="Agriculture"),J11,0)</f>
        <v>0</v>
      </c>
      <c r="AK11" s="287">
        <f t="shared" ref="AK11:AK12" si="112">IF((P11="Terminé")*AND(E11="Industrie"), J11,0)</f>
        <v>0</v>
      </c>
      <c r="AL11" s="287">
        <f t="shared" ref="AL11:AL12" si="113">IF((P11="Terminé")*AND(E11="Logement"), J11,0)</f>
        <v>0</v>
      </c>
      <c r="AM11" s="287">
        <f t="shared" ref="AM11:AM12" si="114">IF((P11="Terminé")*AND(E11="Tertiaire"),J11,0)</f>
        <v>0</v>
      </c>
      <c r="AN11" s="287">
        <f t="shared" ref="AN11:AN12" si="115">IF((P11="Terminé")*AND(E11="Transport"),J11,0)</f>
        <v>0</v>
      </c>
      <c r="AO11" s="287">
        <f t="shared" ref="AO11:AO12" si="116">IF((P11="Terminé")*AND(E11="Communal"),J11,0)</f>
        <v>0</v>
      </c>
      <c r="AQ11" s="287">
        <f t="shared" ref="AQ11:AQ12" si="117">IF((P11="Terminé")*AND(E11="Territoire"),K11,0)</f>
        <v>0</v>
      </c>
      <c r="AR11" s="287">
        <f t="shared" ref="AR11:AR12" si="118">IF((P11="Terminé")*AND(E11="Agriculture"),K11,0)</f>
        <v>0</v>
      </c>
      <c r="AS11" s="287">
        <f t="shared" ref="AS11:AS12" si="119">IF((P11="Terminé")*AND(E11="Industrie"), K11,0)</f>
        <v>0</v>
      </c>
      <c r="AT11" s="287">
        <f t="shared" ref="AT11:AT12" si="120">IF((P11="Terminé")*AND(E11="Logement"), K11,0)</f>
        <v>0</v>
      </c>
      <c r="AU11" s="287">
        <f t="shared" ref="AU11:AU12" si="121">IF((P11="Terminé")*AND(E11="Tertiaire"),K11,0)</f>
        <v>0</v>
      </c>
      <c r="AV11" s="287">
        <f t="shared" ref="AV11:AV12" si="122">IF((P11="Terminé")*AND(E11="Transport"),K11,0)</f>
        <v>0</v>
      </c>
      <c r="AW11" s="287">
        <f t="shared" ref="AW11:AW12" si="123">IF((P11="Terminé")*AND(E11="Communal"),K11,0)</f>
        <v>0</v>
      </c>
      <c r="AY11" s="287">
        <f t="shared" ref="AY11:AY12" si="124">IF((P11="Terminé")*AND(E11="Territoire"),L11,0)</f>
        <v>0</v>
      </c>
      <c r="AZ11" s="287">
        <f t="shared" ref="AZ11:AZ12" si="125">IF((P11="Terminé")*AND(E11="Agriculture"),L11,0)</f>
        <v>0</v>
      </c>
      <c r="BA11" s="287">
        <f t="shared" ref="BA11:BA12" si="126">IF((P11="Terminé")*AND(E11="Industrie"), L11,0)</f>
        <v>0</v>
      </c>
      <c r="BB11" s="287">
        <f t="shared" ref="BB11:BB12" si="127">IF((P11="Terminé")*AND(E11="Logement"), L11,0)</f>
        <v>0</v>
      </c>
      <c r="BC11" s="287">
        <f t="shared" ref="BC11:BC12" si="128">IF((P11="Terminé")*AND(E11="Tertiaire"),L11,0)</f>
        <v>0</v>
      </c>
      <c r="BD11" s="287">
        <f t="shared" ref="BD11:BD12" si="129">IF((P11="Terminé")*AND(E11="Transport"),L11,0)</f>
        <v>0</v>
      </c>
      <c r="BE11" s="287">
        <f t="shared" ref="BE11:BE12" si="130">IF((P11="Terminé")*AND(E11="Communal"),L11,0)</f>
        <v>0</v>
      </c>
      <c r="BG11" s="287">
        <f t="shared" ref="BG11:BG12" si="131">IF((P11="Terminé")*AND(F11="Agriculture"),H11,0)</f>
        <v>0</v>
      </c>
      <c r="BH11" s="287">
        <f t="shared" ref="BH11:BH12" si="132">IF((P11="Terminé")*AND(F11="Industrie"),H11,0)</f>
        <v>0</v>
      </c>
      <c r="BI11" s="287">
        <f t="shared" ref="BI11:BI12" si="133">IF((P11="Terminé")*AND(F11="Citoyen"), H11,0)</f>
        <v>0</v>
      </c>
      <c r="BJ11" s="287">
        <f t="shared" ref="BJ11:BJ12" si="134">IF((P11="Terminé")*AND(F11="IDELUX"), H11,0)</f>
        <v>0</v>
      </c>
      <c r="BK11" s="290">
        <f t="shared" ref="BK11:BK12" si="135">IF((P11="Terminé")*AND(F11="AC MESSANCY"),H11,0)</f>
        <v>0</v>
      </c>
      <c r="BL11" s="287">
        <f t="shared" ref="BL11:BL12" si="136">IF((P11="Terminé")*AND(F11="Tertiaire"),H11,0)</f>
        <v>0</v>
      </c>
      <c r="BN11" s="287">
        <f t="shared" ref="BN11:BN12" si="137">IF((P11="Terminé")*AND(F11="Agriculture"),J11,0)</f>
        <v>0</v>
      </c>
      <c r="BO11" s="287">
        <f t="shared" ref="BO11:BO12" si="138">IF((P11="Terminé")*AND(F11="Industrie"),J11,0)</f>
        <v>0</v>
      </c>
      <c r="BP11" s="287">
        <f t="shared" ref="BP11:BP12" si="139">IF((P11="Terminé")*AND(F11="Citoyen"), J11,0)</f>
        <v>0</v>
      </c>
      <c r="BQ11" s="287">
        <f t="shared" ref="BQ11:BQ12" si="140">IF((P11="Terminé")*AND(F11="IDELUX"), J11,0)</f>
        <v>0</v>
      </c>
      <c r="BR11" s="290">
        <f t="shared" ref="BR11:BR12" si="141">IF((P11="Terminé")*AND(F11="AC MESSANCY"),J11,0)</f>
        <v>0</v>
      </c>
      <c r="BS11" s="287">
        <f t="shared" ref="BS11:BS12" si="142">IF((P11="Terminé")*AND(F11="Tertiaire"),J11,0)</f>
        <v>0</v>
      </c>
    </row>
    <row r="12" spans="1:71" s="288" customFormat="1" ht="18" customHeight="1" x14ac:dyDescent="0.25">
      <c r="A12" s="370" t="s">
        <v>245</v>
      </c>
      <c r="B12" s="370" t="str">
        <f>'ADO-11'!B$3:E$3</f>
        <v>Communication</v>
      </c>
      <c r="C12" s="799" t="str">
        <f>'ADO-11'!$B$8</f>
        <v>Citoyens</v>
      </c>
      <c r="D12" s="800" t="str">
        <f>'ADO-11'!$B$9</f>
        <v>Smart city</v>
      </c>
      <c r="E12" s="800" t="str">
        <f>'ADO-11'!$B$4</f>
        <v>Communal</v>
      </c>
      <c r="F12" s="800" t="str">
        <f>'ADO-11'!$B$12</f>
        <v>AC MESSANCY</v>
      </c>
      <c r="G12" s="800" t="str">
        <f>'ADO-11'!$B$6</f>
        <v>Fonds propres</v>
      </c>
      <c r="H12" s="801">
        <f>'ADO-11'!$B$17</f>
        <v>5000</v>
      </c>
      <c r="I12" s="800" t="str">
        <f>'ADO-11'!$B$7</f>
        <v>Néant</v>
      </c>
      <c r="J12" s="801">
        <f>'ADO-11'!$B$18</f>
        <v>0</v>
      </c>
      <c r="K12" s="801">
        <f>'ADO-11'!$B$21</f>
        <v>1</v>
      </c>
      <c r="L12" s="801">
        <f>'ADO-11'!$B$22</f>
        <v>0</v>
      </c>
      <c r="M12" s="802">
        <f>'ADO-11'!$B$24</f>
        <v>5000</v>
      </c>
      <c r="N12" s="803">
        <f>'ADO-11'!$B$25</f>
        <v>0</v>
      </c>
      <c r="O12" s="804">
        <f t="shared" si="94"/>
        <v>0</v>
      </c>
      <c r="P12" s="805" t="str">
        <f>'ADO-11'!$B$5</f>
        <v>A faire</v>
      </c>
      <c r="Q12" s="806">
        <f>'ADO-11'!$B$16</f>
        <v>2022</v>
      </c>
      <c r="R12" s="807" t="str">
        <f t="shared" si="95"/>
        <v/>
      </c>
      <c r="S12" s="287">
        <f t="shared" si="96"/>
        <v>0</v>
      </c>
      <c r="T12" s="287">
        <f t="shared" si="97"/>
        <v>0</v>
      </c>
      <c r="U12" s="287">
        <f t="shared" si="98"/>
        <v>0</v>
      </c>
      <c r="V12" s="287">
        <f t="shared" si="99"/>
        <v>0</v>
      </c>
      <c r="W12" s="287">
        <f t="shared" si="100"/>
        <v>0</v>
      </c>
      <c r="X12" s="287">
        <f t="shared" si="101"/>
        <v>0</v>
      </c>
      <c r="Y12" s="287">
        <f t="shared" si="102"/>
        <v>0</v>
      </c>
      <c r="AA12" s="287">
        <f t="shared" si="103"/>
        <v>0</v>
      </c>
      <c r="AB12" s="287">
        <f t="shared" si="104"/>
        <v>0</v>
      </c>
      <c r="AC12" s="287">
        <f t="shared" si="105"/>
        <v>0</v>
      </c>
      <c r="AD12" s="287">
        <f t="shared" si="106"/>
        <v>0</v>
      </c>
      <c r="AE12" s="287">
        <f t="shared" si="107"/>
        <v>0</v>
      </c>
      <c r="AF12" s="287">
        <f t="shared" si="108"/>
        <v>0</v>
      </c>
      <c r="AG12" s="287">
        <f t="shared" si="109"/>
        <v>0</v>
      </c>
      <c r="AI12" s="287">
        <f t="shared" si="110"/>
        <v>0</v>
      </c>
      <c r="AJ12" s="287">
        <f t="shared" si="111"/>
        <v>0</v>
      </c>
      <c r="AK12" s="287">
        <f t="shared" si="112"/>
        <v>0</v>
      </c>
      <c r="AL12" s="287">
        <f t="shared" si="113"/>
        <v>0</v>
      </c>
      <c r="AM12" s="287">
        <f t="shared" si="114"/>
        <v>0</v>
      </c>
      <c r="AN12" s="287">
        <f t="shared" si="115"/>
        <v>0</v>
      </c>
      <c r="AO12" s="287">
        <f t="shared" si="116"/>
        <v>0</v>
      </c>
      <c r="AQ12" s="287">
        <f t="shared" si="117"/>
        <v>0</v>
      </c>
      <c r="AR12" s="287">
        <f t="shared" si="118"/>
        <v>0</v>
      </c>
      <c r="AS12" s="287">
        <f t="shared" si="119"/>
        <v>0</v>
      </c>
      <c r="AT12" s="287">
        <f t="shared" si="120"/>
        <v>0</v>
      </c>
      <c r="AU12" s="287">
        <f t="shared" si="121"/>
        <v>0</v>
      </c>
      <c r="AV12" s="287">
        <f t="shared" si="122"/>
        <v>0</v>
      </c>
      <c r="AW12" s="287">
        <f t="shared" si="123"/>
        <v>0</v>
      </c>
      <c r="AY12" s="287">
        <f t="shared" si="124"/>
        <v>0</v>
      </c>
      <c r="AZ12" s="287">
        <f t="shared" si="125"/>
        <v>0</v>
      </c>
      <c r="BA12" s="287">
        <f t="shared" si="126"/>
        <v>0</v>
      </c>
      <c r="BB12" s="287">
        <f t="shared" si="127"/>
        <v>0</v>
      </c>
      <c r="BC12" s="287">
        <f t="shared" si="128"/>
        <v>0</v>
      </c>
      <c r="BD12" s="287">
        <f t="shared" si="129"/>
        <v>0</v>
      </c>
      <c r="BE12" s="287">
        <f t="shared" si="130"/>
        <v>0</v>
      </c>
      <c r="BG12" s="287">
        <f t="shared" si="131"/>
        <v>0</v>
      </c>
      <c r="BH12" s="287">
        <f t="shared" si="132"/>
        <v>0</v>
      </c>
      <c r="BI12" s="287">
        <f t="shared" si="133"/>
        <v>0</v>
      </c>
      <c r="BJ12" s="287">
        <f t="shared" si="134"/>
        <v>0</v>
      </c>
      <c r="BK12" s="290">
        <f t="shared" si="135"/>
        <v>0</v>
      </c>
      <c r="BL12" s="287">
        <f t="shared" si="136"/>
        <v>0</v>
      </c>
      <c r="BN12" s="287">
        <f t="shared" si="137"/>
        <v>0</v>
      </c>
      <c r="BO12" s="287">
        <f t="shared" si="138"/>
        <v>0</v>
      </c>
      <c r="BP12" s="287">
        <f t="shared" si="139"/>
        <v>0</v>
      </c>
      <c r="BQ12" s="287">
        <f t="shared" si="140"/>
        <v>0</v>
      </c>
      <c r="BR12" s="290">
        <f t="shared" si="141"/>
        <v>0</v>
      </c>
      <c r="BS12" s="287">
        <f t="shared" si="142"/>
        <v>0</v>
      </c>
    </row>
    <row r="13" spans="1:71" s="288" customFormat="1" ht="18" customHeight="1" x14ac:dyDescent="0.25">
      <c r="A13" s="370" t="s">
        <v>770</v>
      </c>
      <c r="B13" s="370" t="str">
        <f>'ADO-20'!B$3:E$3</f>
        <v>Mobilisation</v>
      </c>
      <c r="C13" s="799" t="str">
        <f>'ADO-20'!$B$8</f>
        <v>PAED</v>
      </c>
      <c r="D13" s="800" t="str">
        <f>'ADO-20'!$B$9</f>
        <v>Cellule Energie et Développement Durable</v>
      </c>
      <c r="E13" s="800" t="str">
        <f>'ADO-20'!$B$4</f>
        <v>Territoire</v>
      </c>
      <c r="F13" s="800" t="str">
        <f>'ADO-20'!$B$12</f>
        <v>AC MESSANCY</v>
      </c>
      <c r="G13" s="800" t="str">
        <f>'ADO-20'!$B$6</f>
        <v>Fonds propres</v>
      </c>
      <c r="H13" s="801">
        <f>'ADO-20'!$B$17</f>
        <v>83655</v>
      </c>
      <c r="I13" s="800" t="str">
        <f>'ADO-20'!$B$7</f>
        <v>Subs RW</v>
      </c>
      <c r="J13" s="801">
        <f>'ADO-20'!$B$18</f>
        <v>0</v>
      </c>
      <c r="K13" s="801">
        <f>'ADO-20'!$B$21</f>
        <v>1</v>
      </c>
      <c r="L13" s="801">
        <f>'ADO-20'!$B$22</f>
        <v>0</v>
      </c>
      <c r="M13" s="802">
        <f>'ADO-20'!$B$24</f>
        <v>83655</v>
      </c>
      <c r="N13" s="803">
        <f>'ADO-20'!$B$25</f>
        <v>0</v>
      </c>
      <c r="O13" s="804">
        <f>IF(H13=0,0,N13/(H13-J13)*1000)</f>
        <v>0</v>
      </c>
      <c r="P13" s="805" t="str">
        <f>'ADO-20'!$B$5</f>
        <v>Terminé</v>
      </c>
      <c r="Q13" s="806">
        <f>'ADO-20'!$B$16</f>
        <v>2030</v>
      </c>
      <c r="R13" s="807">
        <f t="shared" si="1"/>
        <v>0</v>
      </c>
      <c r="S13" s="287">
        <f t="shared" si="49"/>
        <v>0</v>
      </c>
      <c r="T13" s="287">
        <f t="shared" si="50"/>
        <v>0</v>
      </c>
      <c r="U13" s="287">
        <f t="shared" si="51"/>
        <v>0</v>
      </c>
      <c r="V13" s="287">
        <f t="shared" si="52"/>
        <v>0</v>
      </c>
      <c r="W13" s="287">
        <f t="shared" si="53"/>
        <v>0</v>
      </c>
      <c r="X13" s="287">
        <f t="shared" si="54"/>
        <v>0</v>
      </c>
      <c r="Y13" s="287">
        <f t="shared" si="55"/>
        <v>0</v>
      </c>
      <c r="AA13" s="287">
        <f t="shared" si="56"/>
        <v>83655</v>
      </c>
      <c r="AB13" s="287">
        <f t="shared" si="57"/>
        <v>0</v>
      </c>
      <c r="AC13" s="287">
        <f t="shared" si="58"/>
        <v>0</v>
      </c>
      <c r="AD13" s="287">
        <f t="shared" si="59"/>
        <v>0</v>
      </c>
      <c r="AE13" s="287">
        <f t="shared" si="60"/>
        <v>0</v>
      </c>
      <c r="AF13" s="287">
        <f t="shared" si="61"/>
        <v>0</v>
      </c>
      <c r="AG13" s="287">
        <f t="shared" si="62"/>
        <v>0</v>
      </c>
      <c r="AI13" s="287">
        <f t="shared" si="63"/>
        <v>0</v>
      </c>
      <c r="AJ13" s="287">
        <f t="shared" si="64"/>
        <v>0</v>
      </c>
      <c r="AK13" s="287">
        <f t="shared" si="65"/>
        <v>0</v>
      </c>
      <c r="AL13" s="287">
        <f t="shared" si="66"/>
        <v>0</v>
      </c>
      <c r="AM13" s="287">
        <f t="shared" si="67"/>
        <v>0</v>
      </c>
      <c r="AN13" s="287">
        <f t="shared" si="68"/>
        <v>0</v>
      </c>
      <c r="AO13" s="287">
        <f t="shared" si="69"/>
        <v>0</v>
      </c>
      <c r="AQ13" s="287">
        <f t="shared" si="70"/>
        <v>1</v>
      </c>
      <c r="AR13" s="287">
        <f t="shared" si="71"/>
        <v>0</v>
      </c>
      <c r="AS13" s="287">
        <f t="shared" si="72"/>
        <v>0</v>
      </c>
      <c r="AT13" s="287">
        <f t="shared" si="73"/>
        <v>0</v>
      </c>
      <c r="AU13" s="287">
        <f t="shared" si="74"/>
        <v>0</v>
      </c>
      <c r="AV13" s="287">
        <f t="shared" si="75"/>
        <v>0</v>
      </c>
      <c r="AW13" s="287">
        <f t="shared" si="76"/>
        <v>0</v>
      </c>
      <c r="AY13" s="287">
        <f t="shared" si="77"/>
        <v>0</v>
      </c>
      <c r="AZ13" s="287">
        <f t="shared" si="78"/>
        <v>0</v>
      </c>
      <c r="BA13" s="287">
        <f t="shared" si="79"/>
        <v>0</v>
      </c>
      <c r="BB13" s="287">
        <f t="shared" si="80"/>
        <v>0</v>
      </c>
      <c r="BC13" s="287">
        <f t="shared" si="81"/>
        <v>0</v>
      </c>
      <c r="BD13" s="287">
        <f t="shared" si="82"/>
        <v>0</v>
      </c>
      <c r="BE13" s="287">
        <f t="shared" si="83"/>
        <v>0</v>
      </c>
      <c r="BG13" s="287">
        <f t="shared" si="84"/>
        <v>0</v>
      </c>
      <c r="BH13" s="287">
        <f t="shared" si="85"/>
        <v>0</v>
      </c>
      <c r="BI13" s="287">
        <f t="shared" si="86"/>
        <v>0</v>
      </c>
      <c r="BJ13" s="287">
        <f t="shared" si="87"/>
        <v>0</v>
      </c>
      <c r="BK13" s="290">
        <f t="shared" si="41"/>
        <v>83655</v>
      </c>
      <c r="BL13" s="287">
        <f t="shared" si="88"/>
        <v>0</v>
      </c>
      <c r="BN13" s="287">
        <f t="shared" si="89"/>
        <v>0</v>
      </c>
      <c r="BO13" s="287">
        <f t="shared" si="90"/>
        <v>0</v>
      </c>
      <c r="BP13" s="287">
        <f t="shared" si="91"/>
        <v>0</v>
      </c>
      <c r="BQ13" s="287">
        <f t="shared" si="92"/>
        <v>0</v>
      </c>
      <c r="BR13" s="290">
        <f t="shared" si="47"/>
        <v>0</v>
      </c>
      <c r="BS13" s="287">
        <f t="shared" si="93"/>
        <v>0</v>
      </c>
    </row>
    <row r="14" spans="1:71" s="288" customFormat="1" ht="18" customHeight="1" x14ac:dyDescent="0.25">
      <c r="A14" s="370" t="s">
        <v>771</v>
      </c>
      <c r="B14" s="370" t="str">
        <f>'ADO-21'!B$3:E$3</f>
        <v>Mobilisation</v>
      </c>
      <c r="C14" s="799" t="str">
        <f>'ADO-21'!$B$8</f>
        <v>PAED</v>
      </c>
      <c r="D14" s="800" t="str">
        <f>'ADO-21'!$B$9</f>
        <v>Comité de pilotage</v>
      </c>
      <c r="E14" s="800" t="str">
        <f>'ADO-21'!$B$4</f>
        <v>Territoire</v>
      </c>
      <c r="F14" s="800" t="str">
        <f>'ADO-21'!$B$12</f>
        <v>AC MESSANCY</v>
      </c>
      <c r="G14" s="800" t="str">
        <f>'ADO-21'!$B$6</f>
        <v>Néant</v>
      </c>
      <c r="H14" s="801">
        <f>'ADO-21'!$B$17</f>
        <v>0</v>
      </c>
      <c r="I14" s="800" t="str">
        <f>'ADO-21'!$B$7</f>
        <v>Néant</v>
      </c>
      <c r="J14" s="801">
        <f>'ADO-21'!$B$18</f>
        <v>0</v>
      </c>
      <c r="K14" s="801">
        <f>'ADO-21'!$B$21</f>
        <v>1</v>
      </c>
      <c r="L14" s="801">
        <f>'ADO-21'!$B$22</f>
        <v>0</v>
      </c>
      <c r="M14" s="802">
        <f>'ADO-21'!$B$24</f>
        <v>0</v>
      </c>
      <c r="N14" s="803">
        <f>'ADO-21'!$B$25</f>
        <v>0</v>
      </c>
      <c r="O14" s="804">
        <f>IF(H14=0,0,N14/(H14-J14)*1000)</f>
        <v>0</v>
      </c>
      <c r="P14" s="805" t="str">
        <f>'ADO-21'!$B$5</f>
        <v>Terminé</v>
      </c>
      <c r="Q14" s="806">
        <f>'ADO-21'!$B$16</f>
        <v>2020</v>
      </c>
      <c r="R14" s="807">
        <f>IF(P14="terminé", N14,"")</f>
        <v>0</v>
      </c>
      <c r="S14" s="287">
        <f t="shared" si="49"/>
        <v>0</v>
      </c>
      <c r="T14" s="287">
        <f t="shared" si="50"/>
        <v>0</v>
      </c>
      <c r="U14" s="287">
        <f t="shared" si="51"/>
        <v>0</v>
      </c>
      <c r="V14" s="287">
        <f t="shared" si="52"/>
        <v>0</v>
      </c>
      <c r="W14" s="287">
        <f t="shared" si="53"/>
        <v>0</v>
      </c>
      <c r="X14" s="287">
        <f t="shared" si="54"/>
        <v>0</v>
      </c>
      <c r="Y14" s="287">
        <f t="shared" si="55"/>
        <v>0</v>
      </c>
      <c r="AA14" s="287">
        <f t="shared" si="56"/>
        <v>0</v>
      </c>
      <c r="AB14" s="287">
        <f t="shared" si="57"/>
        <v>0</v>
      </c>
      <c r="AC14" s="287">
        <f t="shared" si="58"/>
        <v>0</v>
      </c>
      <c r="AD14" s="287">
        <f t="shared" si="59"/>
        <v>0</v>
      </c>
      <c r="AE14" s="287">
        <f t="shared" si="60"/>
        <v>0</v>
      </c>
      <c r="AF14" s="287">
        <f t="shared" si="61"/>
        <v>0</v>
      </c>
      <c r="AG14" s="287">
        <f t="shared" si="62"/>
        <v>0</v>
      </c>
      <c r="AI14" s="287">
        <f t="shared" si="63"/>
        <v>0</v>
      </c>
      <c r="AJ14" s="287">
        <f t="shared" si="64"/>
        <v>0</v>
      </c>
      <c r="AK14" s="287">
        <f t="shared" si="65"/>
        <v>0</v>
      </c>
      <c r="AL14" s="287">
        <f t="shared" si="66"/>
        <v>0</v>
      </c>
      <c r="AM14" s="287">
        <f t="shared" si="67"/>
        <v>0</v>
      </c>
      <c r="AN14" s="287">
        <f t="shared" si="68"/>
        <v>0</v>
      </c>
      <c r="AO14" s="287">
        <f t="shared" si="69"/>
        <v>0</v>
      </c>
      <c r="AQ14" s="287">
        <f t="shared" si="70"/>
        <v>1</v>
      </c>
      <c r="AR14" s="287">
        <f t="shared" si="71"/>
        <v>0</v>
      </c>
      <c r="AS14" s="287">
        <f t="shared" si="72"/>
        <v>0</v>
      </c>
      <c r="AT14" s="287">
        <f t="shared" si="73"/>
        <v>0</v>
      </c>
      <c r="AU14" s="287">
        <f t="shared" si="74"/>
        <v>0</v>
      </c>
      <c r="AV14" s="287">
        <f t="shared" si="75"/>
        <v>0</v>
      </c>
      <c r="AW14" s="287">
        <f t="shared" si="76"/>
        <v>0</v>
      </c>
      <c r="AY14" s="287">
        <f t="shared" si="77"/>
        <v>0</v>
      </c>
      <c r="AZ14" s="287">
        <f t="shared" si="78"/>
        <v>0</v>
      </c>
      <c r="BA14" s="287">
        <f t="shared" si="79"/>
        <v>0</v>
      </c>
      <c r="BB14" s="287">
        <f t="shared" si="80"/>
        <v>0</v>
      </c>
      <c r="BC14" s="287">
        <f t="shared" si="81"/>
        <v>0</v>
      </c>
      <c r="BD14" s="287">
        <f t="shared" si="82"/>
        <v>0</v>
      </c>
      <c r="BE14" s="287">
        <f t="shared" si="83"/>
        <v>0</v>
      </c>
      <c r="BG14" s="287">
        <f t="shared" si="84"/>
        <v>0</v>
      </c>
      <c r="BH14" s="287">
        <f t="shared" si="85"/>
        <v>0</v>
      </c>
      <c r="BI14" s="287">
        <f t="shared" si="86"/>
        <v>0</v>
      </c>
      <c r="BJ14" s="287">
        <f t="shared" si="87"/>
        <v>0</v>
      </c>
      <c r="BK14" s="290">
        <f t="shared" si="41"/>
        <v>0</v>
      </c>
      <c r="BL14" s="287">
        <f t="shared" si="88"/>
        <v>0</v>
      </c>
      <c r="BN14" s="287">
        <f t="shared" si="89"/>
        <v>0</v>
      </c>
      <c r="BO14" s="287">
        <f t="shared" si="90"/>
        <v>0</v>
      </c>
      <c r="BP14" s="287">
        <f t="shared" si="91"/>
        <v>0</v>
      </c>
      <c r="BQ14" s="287">
        <f t="shared" si="92"/>
        <v>0</v>
      </c>
      <c r="BR14" s="290">
        <f t="shared" si="47"/>
        <v>0</v>
      </c>
      <c r="BS14" s="287">
        <f t="shared" si="93"/>
        <v>0</v>
      </c>
    </row>
    <row r="15" spans="1:71" s="924" customFormat="1" ht="18" customHeight="1" x14ac:dyDescent="0.25">
      <c r="A15" s="913" t="s">
        <v>772</v>
      </c>
      <c r="B15" s="913" t="str">
        <f>'ADO-22'!B$3:E$3</f>
        <v>Mobilisation</v>
      </c>
      <c r="C15" s="914" t="str">
        <f>'ADO-22'!$B$8</f>
        <v>URE</v>
      </c>
      <c r="D15" s="915" t="str">
        <f>'ADO-22'!$B$9</f>
        <v>Sensibilisation URE - chaleur</v>
      </c>
      <c r="E15" s="915" t="str">
        <f>'ADO-22'!$B$4</f>
        <v>Logement</v>
      </c>
      <c r="F15" s="915" t="str">
        <f>'ADO-22'!$B$12</f>
        <v>Citoyen</v>
      </c>
      <c r="G15" s="915" t="str">
        <f>'ADO-22'!$B$6</f>
        <v>Néant</v>
      </c>
      <c r="H15" s="916">
        <f>'ADO-22'!$B$17</f>
        <v>0</v>
      </c>
      <c r="I15" s="915" t="str">
        <f>'ADO-22'!$B$7</f>
        <v>Néant</v>
      </c>
      <c r="J15" s="916">
        <f>'ADO-22'!$B$18</f>
        <v>0</v>
      </c>
      <c r="K15" s="916">
        <f>'ADO-22'!$B$21</f>
        <v>41173.582259478149</v>
      </c>
      <c r="L15" s="916">
        <f>'ADO-22'!$B$22</f>
        <v>0</v>
      </c>
      <c r="M15" s="917">
        <f>'ADO-22'!$B$24</f>
        <v>0</v>
      </c>
      <c r="N15" s="918">
        <f>'ADO-22'!$B$25</f>
        <v>146.67991962100109</v>
      </c>
      <c r="O15" s="919">
        <f t="shared" ref="O15:O33" si="143">IF(H15=0,0,N15/(H15-J15)*1000)</f>
        <v>0</v>
      </c>
      <c r="P15" s="920" t="str">
        <f>'ADO-22'!$B$5</f>
        <v>A faire</v>
      </c>
      <c r="Q15" s="921">
        <f>'ADO-22'!$B$16</f>
        <v>2030</v>
      </c>
      <c r="R15" s="922" t="str">
        <f t="shared" ref="R15:R33" si="144">IF(P15="terminé", N15,"")</f>
        <v/>
      </c>
      <c r="S15" s="923">
        <f t="shared" si="49"/>
        <v>0</v>
      </c>
      <c r="T15" s="923">
        <f t="shared" si="50"/>
        <v>0</v>
      </c>
      <c r="U15" s="923">
        <f t="shared" si="51"/>
        <v>0</v>
      </c>
      <c r="V15" s="923">
        <f t="shared" si="52"/>
        <v>0</v>
      </c>
      <c r="W15" s="923">
        <f t="shared" si="53"/>
        <v>0</v>
      </c>
      <c r="X15" s="923">
        <f t="shared" si="54"/>
        <v>0</v>
      </c>
      <c r="Y15" s="923">
        <f t="shared" si="55"/>
        <v>0</v>
      </c>
      <c r="AA15" s="923">
        <f t="shared" si="56"/>
        <v>0</v>
      </c>
      <c r="AB15" s="923">
        <f t="shared" si="57"/>
        <v>0</v>
      </c>
      <c r="AC15" s="923">
        <f t="shared" si="58"/>
        <v>0</v>
      </c>
      <c r="AD15" s="923">
        <f t="shared" si="59"/>
        <v>0</v>
      </c>
      <c r="AE15" s="923">
        <f t="shared" si="60"/>
        <v>0</v>
      </c>
      <c r="AF15" s="923">
        <f t="shared" si="61"/>
        <v>0</v>
      </c>
      <c r="AG15" s="923">
        <f t="shared" si="62"/>
        <v>0</v>
      </c>
      <c r="AI15" s="923">
        <f t="shared" si="63"/>
        <v>0</v>
      </c>
      <c r="AJ15" s="923">
        <f t="shared" si="64"/>
        <v>0</v>
      </c>
      <c r="AK15" s="923">
        <f t="shared" si="65"/>
        <v>0</v>
      </c>
      <c r="AL15" s="923">
        <f t="shared" si="66"/>
        <v>0</v>
      </c>
      <c r="AM15" s="923">
        <f t="shared" si="67"/>
        <v>0</v>
      </c>
      <c r="AN15" s="923">
        <f t="shared" si="68"/>
        <v>0</v>
      </c>
      <c r="AO15" s="923">
        <f t="shared" si="69"/>
        <v>0</v>
      </c>
      <c r="AQ15" s="923">
        <f t="shared" si="70"/>
        <v>0</v>
      </c>
      <c r="AR15" s="923">
        <f t="shared" si="71"/>
        <v>0</v>
      </c>
      <c r="AS15" s="923">
        <f t="shared" si="72"/>
        <v>0</v>
      </c>
      <c r="AT15" s="923">
        <f t="shared" si="73"/>
        <v>0</v>
      </c>
      <c r="AU15" s="923">
        <f t="shared" si="74"/>
        <v>0</v>
      </c>
      <c r="AV15" s="923">
        <f t="shared" si="75"/>
        <v>0</v>
      </c>
      <c r="AW15" s="923">
        <f t="shared" si="76"/>
        <v>0</v>
      </c>
      <c r="AY15" s="923">
        <f t="shared" si="77"/>
        <v>0</v>
      </c>
      <c r="AZ15" s="923">
        <f t="shared" si="78"/>
        <v>0</v>
      </c>
      <c r="BA15" s="923">
        <f t="shared" si="79"/>
        <v>0</v>
      </c>
      <c r="BB15" s="923">
        <f t="shared" si="80"/>
        <v>0</v>
      </c>
      <c r="BC15" s="923">
        <f t="shared" si="81"/>
        <v>0</v>
      </c>
      <c r="BD15" s="923">
        <f t="shared" si="82"/>
        <v>0</v>
      </c>
      <c r="BE15" s="923">
        <f t="shared" si="83"/>
        <v>0</v>
      </c>
      <c r="BG15" s="923">
        <f t="shared" si="84"/>
        <v>0</v>
      </c>
      <c r="BH15" s="923">
        <f t="shared" si="85"/>
        <v>0</v>
      </c>
      <c r="BI15" s="923">
        <f t="shared" si="86"/>
        <v>0</v>
      </c>
      <c r="BJ15" s="923">
        <f t="shared" si="87"/>
        <v>0</v>
      </c>
      <c r="BK15" s="925">
        <f t="shared" si="41"/>
        <v>0</v>
      </c>
      <c r="BL15" s="923">
        <f t="shared" si="88"/>
        <v>0</v>
      </c>
      <c r="BN15" s="923">
        <f t="shared" si="89"/>
        <v>0</v>
      </c>
      <c r="BO15" s="923">
        <f t="shared" si="90"/>
        <v>0</v>
      </c>
      <c r="BP15" s="923">
        <f t="shared" si="91"/>
        <v>0</v>
      </c>
      <c r="BQ15" s="923">
        <f t="shared" si="92"/>
        <v>0</v>
      </c>
      <c r="BR15" s="925">
        <f t="shared" si="47"/>
        <v>0</v>
      </c>
      <c r="BS15" s="923">
        <f t="shared" si="93"/>
        <v>0</v>
      </c>
    </row>
    <row r="16" spans="1:71" s="924" customFormat="1" ht="18" customHeight="1" x14ac:dyDescent="0.25">
      <c r="A16" s="913" t="s">
        <v>773</v>
      </c>
      <c r="B16" s="913" t="str">
        <f>'ADO-23'!B$3:E$3</f>
        <v>Mobilisation</v>
      </c>
      <c r="C16" s="914" t="str">
        <f>'ADO-23'!$B$8</f>
        <v>URE</v>
      </c>
      <c r="D16" s="915" t="str">
        <f>'ADO-23'!$B$9</f>
        <v>Sensibilisation URE - électricité</v>
      </c>
      <c r="E16" s="915" t="str">
        <f>'ADO-23'!$B$4</f>
        <v>Logement</v>
      </c>
      <c r="F16" s="915" t="str">
        <f>'ADO-23'!$B$12</f>
        <v>Citoyen</v>
      </c>
      <c r="G16" s="915" t="str">
        <f>'ADO-23'!$B$6</f>
        <v>Néant</v>
      </c>
      <c r="H16" s="916">
        <f>'ADO-23'!$B$17</f>
        <v>0</v>
      </c>
      <c r="I16" s="915" t="str">
        <f>'ADO-23'!$B$7</f>
        <v>Néant</v>
      </c>
      <c r="J16" s="916">
        <f>'ADO-23'!$B$18</f>
        <v>0</v>
      </c>
      <c r="K16" s="916">
        <f>'ADO-23'!$B$21</f>
        <v>46007.485345811321</v>
      </c>
      <c r="L16" s="916">
        <f>'ADO-23'!$B$22</f>
        <v>0</v>
      </c>
      <c r="M16" s="917">
        <f>'ADO-23'!$B$24</f>
        <v>0</v>
      </c>
      <c r="N16" s="918">
        <f>'ADO-23'!$B$25</f>
        <v>53.100306003290576</v>
      </c>
      <c r="O16" s="919">
        <f t="shared" si="143"/>
        <v>0</v>
      </c>
      <c r="P16" s="920" t="str">
        <f>'ADO-23'!$B$5</f>
        <v>A faire</v>
      </c>
      <c r="Q16" s="921">
        <f>'ADO-23'!$B$16</f>
        <v>2030</v>
      </c>
      <c r="R16" s="922" t="str">
        <f t="shared" si="144"/>
        <v/>
      </c>
      <c r="S16" s="923">
        <f t="shared" si="49"/>
        <v>0</v>
      </c>
      <c r="T16" s="923">
        <f t="shared" si="50"/>
        <v>0</v>
      </c>
      <c r="U16" s="923">
        <f t="shared" si="51"/>
        <v>0</v>
      </c>
      <c r="V16" s="923">
        <f t="shared" si="52"/>
        <v>0</v>
      </c>
      <c r="W16" s="923">
        <f t="shared" si="53"/>
        <v>0</v>
      </c>
      <c r="X16" s="923">
        <f t="shared" si="54"/>
        <v>0</v>
      </c>
      <c r="Y16" s="923">
        <f t="shared" si="55"/>
        <v>0</v>
      </c>
      <c r="AA16" s="923">
        <f t="shared" si="56"/>
        <v>0</v>
      </c>
      <c r="AB16" s="923">
        <f t="shared" si="57"/>
        <v>0</v>
      </c>
      <c r="AC16" s="923">
        <f t="shared" si="58"/>
        <v>0</v>
      </c>
      <c r="AD16" s="923">
        <f t="shared" si="59"/>
        <v>0</v>
      </c>
      <c r="AE16" s="923">
        <f t="shared" si="60"/>
        <v>0</v>
      </c>
      <c r="AF16" s="923">
        <f t="shared" si="61"/>
        <v>0</v>
      </c>
      <c r="AG16" s="923">
        <f t="shared" si="62"/>
        <v>0</v>
      </c>
      <c r="AI16" s="923">
        <f t="shared" si="63"/>
        <v>0</v>
      </c>
      <c r="AJ16" s="923">
        <f t="shared" si="64"/>
        <v>0</v>
      </c>
      <c r="AK16" s="923">
        <f t="shared" si="65"/>
        <v>0</v>
      </c>
      <c r="AL16" s="923">
        <f t="shared" si="66"/>
        <v>0</v>
      </c>
      <c r="AM16" s="923">
        <f t="shared" si="67"/>
        <v>0</v>
      </c>
      <c r="AN16" s="923">
        <f t="shared" si="68"/>
        <v>0</v>
      </c>
      <c r="AO16" s="923">
        <f t="shared" si="69"/>
        <v>0</v>
      </c>
      <c r="AQ16" s="923">
        <f t="shared" si="70"/>
        <v>0</v>
      </c>
      <c r="AR16" s="923">
        <f t="shared" si="71"/>
        <v>0</v>
      </c>
      <c r="AS16" s="923">
        <f t="shared" si="72"/>
        <v>0</v>
      </c>
      <c r="AT16" s="923">
        <f t="shared" si="73"/>
        <v>0</v>
      </c>
      <c r="AU16" s="923">
        <f t="shared" si="74"/>
        <v>0</v>
      </c>
      <c r="AV16" s="923">
        <f t="shared" si="75"/>
        <v>0</v>
      </c>
      <c r="AW16" s="923">
        <f t="shared" si="76"/>
        <v>0</v>
      </c>
      <c r="AY16" s="923">
        <f t="shared" si="77"/>
        <v>0</v>
      </c>
      <c r="AZ16" s="923">
        <f t="shared" si="78"/>
        <v>0</v>
      </c>
      <c r="BA16" s="923">
        <f t="shared" si="79"/>
        <v>0</v>
      </c>
      <c r="BB16" s="923">
        <f t="shared" si="80"/>
        <v>0</v>
      </c>
      <c r="BC16" s="923">
        <f t="shared" si="81"/>
        <v>0</v>
      </c>
      <c r="BD16" s="923">
        <f t="shared" si="82"/>
        <v>0</v>
      </c>
      <c r="BE16" s="923">
        <f t="shared" si="83"/>
        <v>0</v>
      </c>
      <c r="BG16" s="923">
        <f t="shared" si="84"/>
        <v>0</v>
      </c>
      <c r="BH16" s="923">
        <f t="shared" si="85"/>
        <v>0</v>
      </c>
      <c r="BI16" s="923">
        <f t="shared" si="86"/>
        <v>0</v>
      </c>
      <c r="BJ16" s="923">
        <f t="shared" si="87"/>
        <v>0</v>
      </c>
      <c r="BK16" s="925">
        <f t="shared" si="41"/>
        <v>0</v>
      </c>
      <c r="BL16" s="923">
        <f t="shared" si="88"/>
        <v>0</v>
      </c>
      <c r="BN16" s="923">
        <f t="shared" si="89"/>
        <v>0</v>
      </c>
      <c r="BO16" s="923">
        <f t="shared" si="90"/>
        <v>0</v>
      </c>
      <c r="BP16" s="923">
        <f t="shared" si="91"/>
        <v>0</v>
      </c>
      <c r="BQ16" s="923">
        <f t="shared" si="92"/>
        <v>0</v>
      </c>
      <c r="BR16" s="925">
        <f t="shared" si="47"/>
        <v>0</v>
      </c>
      <c r="BS16" s="923">
        <f t="shared" si="93"/>
        <v>0</v>
      </c>
    </row>
    <row r="17" spans="1:71" s="288" customFormat="1" ht="18" customHeight="1" x14ac:dyDescent="0.25">
      <c r="A17" s="370" t="s">
        <v>774</v>
      </c>
      <c r="B17" s="370" t="str">
        <f>'ADO-24'!B$3:E$3</f>
        <v>Mobilisation</v>
      </c>
      <c r="C17" s="799" t="str">
        <f>'ADO-24'!$B$8</f>
        <v>Grand public</v>
      </c>
      <c r="D17" s="800" t="str">
        <f>'ADO-24'!$B$9</f>
        <v xml:space="preserve">Evènement </v>
      </c>
      <c r="E17" s="800" t="str">
        <f>'ADO-24'!$B$4</f>
        <v>Territoire</v>
      </c>
      <c r="F17" s="800" t="str">
        <f>'ADO-24'!$B$12</f>
        <v>AC MESSANCY</v>
      </c>
      <c r="G17" s="800" t="str">
        <f>'ADO-24'!$B$6</f>
        <v>Sponsoring</v>
      </c>
      <c r="H17" s="801">
        <f>'ADO-24'!$B$17</f>
        <v>5000</v>
      </c>
      <c r="I17" s="800" t="str">
        <f>'ADO-24'!$B$7</f>
        <v>Néant</v>
      </c>
      <c r="J17" s="801">
        <f>'ADO-24'!$B$18</f>
        <v>0</v>
      </c>
      <c r="K17" s="801">
        <f>'ADO-24'!$B$21</f>
        <v>1</v>
      </c>
      <c r="L17" s="801">
        <f>'ADO-24'!$B$22</f>
        <v>0</v>
      </c>
      <c r="M17" s="802">
        <f>'ADO-24'!$B$24</f>
        <v>5000</v>
      </c>
      <c r="N17" s="803">
        <f>'ADO-24'!$B$25</f>
        <v>0</v>
      </c>
      <c r="O17" s="804">
        <f t="shared" si="143"/>
        <v>0</v>
      </c>
      <c r="P17" s="805" t="str">
        <f>'ADO-24'!$B$5</f>
        <v>A faire</v>
      </c>
      <c r="Q17" s="806">
        <f>'ADO-24'!$B$16</f>
        <v>2022</v>
      </c>
      <c r="R17" s="807" t="str">
        <f t="shared" si="144"/>
        <v/>
      </c>
      <c r="S17" s="287">
        <f t="shared" si="49"/>
        <v>0</v>
      </c>
      <c r="T17" s="287">
        <f t="shared" si="50"/>
        <v>0</v>
      </c>
      <c r="U17" s="287">
        <f t="shared" si="51"/>
        <v>0</v>
      </c>
      <c r="V17" s="287">
        <f t="shared" si="52"/>
        <v>0</v>
      </c>
      <c r="W17" s="287">
        <f t="shared" si="53"/>
        <v>0</v>
      </c>
      <c r="X17" s="287">
        <f t="shared" si="54"/>
        <v>0</v>
      </c>
      <c r="Y17" s="287">
        <f t="shared" si="55"/>
        <v>0</v>
      </c>
      <c r="AA17" s="287">
        <f t="shared" si="56"/>
        <v>0</v>
      </c>
      <c r="AB17" s="287">
        <f t="shared" si="57"/>
        <v>0</v>
      </c>
      <c r="AC17" s="287">
        <f t="shared" si="58"/>
        <v>0</v>
      </c>
      <c r="AD17" s="287">
        <f t="shared" si="59"/>
        <v>0</v>
      </c>
      <c r="AE17" s="287">
        <f t="shared" si="60"/>
        <v>0</v>
      </c>
      <c r="AF17" s="287">
        <f t="shared" si="61"/>
        <v>0</v>
      </c>
      <c r="AG17" s="287">
        <f t="shared" si="62"/>
        <v>0</v>
      </c>
      <c r="AI17" s="287">
        <f t="shared" si="63"/>
        <v>0</v>
      </c>
      <c r="AJ17" s="287">
        <f t="shared" si="64"/>
        <v>0</v>
      </c>
      <c r="AK17" s="287">
        <f t="shared" si="65"/>
        <v>0</v>
      </c>
      <c r="AL17" s="287">
        <f t="shared" si="66"/>
        <v>0</v>
      </c>
      <c r="AM17" s="287">
        <f t="shared" si="67"/>
        <v>0</v>
      </c>
      <c r="AN17" s="287">
        <f t="shared" si="68"/>
        <v>0</v>
      </c>
      <c r="AO17" s="287">
        <f t="shared" si="69"/>
        <v>0</v>
      </c>
      <c r="AQ17" s="287">
        <f t="shared" si="70"/>
        <v>0</v>
      </c>
      <c r="AR17" s="287">
        <f t="shared" si="71"/>
        <v>0</v>
      </c>
      <c r="AS17" s="287">
        <f t="shared" si="72"/>
        <v>0</v>
      </c>
      <c r="AT17" s="287">
        <f t="shared" si="73"/>
        <v>0</v>
      </c>
      <c r="AU17" s="287">
        <f t="shared" si="74"/>
        <v>0</v>
      </c>
      <c r="AV17" s="287">
        <f t="shared" si="75"/>
        <v>0</v>
      </c>
      <c r="AW17" s="287">
        <f t="shared" si="76"/>
        <v>0</v>
      </c>
      <c r="AY17" s="287">
        <f t="shared" si="77"/>
        <v>0</v>
      </c>
      <c r="AZ17" s="287">
        <f t="shared" si="78"/>
        <v>0</v>
      </c>
      <c r="BA17" s="287">
        <f t="shared" si="79"/>
        <v>0</v>
      </c>
      <c r="BB17" s="287">
        <f t="shared" si="80"/>
        <v>0</v>
      </c>
      <c r="BC17" s="287">
        <f t="shared" si="81"/>
        <v>0</v>
      </c>
      <c r="BD17" s="287">
        <f t="shared" si="82"/>
        <v>0</v>
      </c>
      <c r="BE17" s="287">
        <f t="shared" si="83"/>
        <v>0</v>
      </c>
      <c r="BG17" s="287">
        <f t="shared" si="84"/>
        <v>0</v>
      </c>
      <c r="BH17" s="287">
        <f t="shared" si="85"/>
        <v>0</v>
      </c>
      <c r="BI17" s="287">
        <f t="shared" si="86"/>
        <v>0</v>
      </c>
      <c r="BJ17" s="287">
        <f t="shared" si="87"/>
        <v>0</v>
      </c>
      <c r="BK17" s="290">
        <f t="shared" si="41"/>
        <v>0</v>
      </c>
      <c r="BL17" s="287">
        <f t="shared" si="88"/>
        <v>0</v>
      </c>
      <c r="BN17" s="287">
        <f t="shared" si="89"/>
        <v>0</v>
      </c>
      <c r="BO17" s="287">
        <f t="shared" si="90"/>
        <v>0</v>
      </c>
      <c r="BP17" s="287">
        <f t="shared" si="91"/>
        <v>0</v>
      </c>
      <c r="BQ17" s="287">
        <f t="shared" si="92"/>
        <v>0</v>
      </c>
      <c r="BR17" s="290">
        <f t="shared" si="47"/>
        <v>0</v>
      </c>
      <c r="BS17" s="287">
        <f t="shared" si="93"/>
        <v>0</v>
      </c>
    </row>
    <row r="18" spans="1:71" s="288" customFormat="1" ht="18" customHeight="1" x14ac:dyDescent="0.25">
      <c r="A18" s="370" t="s">
        <v>775</v>
      </c>
      <c r="B18" s="370" t="str">
        <f>'ADO-25'!B$3:E$3</f>
        <v>Mobilisation</v>
      </c>
      <c r="C18" s="799" t="str">
        <f>'ADO-25'!$B$8</f>
        <v>Grand public</v>
      </c>
      <c r="D18" s="800" t="str">
        <f>'ADO-25'!$B$9</f>
        <v>Evènement festif Supra communal</v>
      </c>
      <c r="E18" s="800" t="str">
        <f>'ADO-25'!$B$4</f>
        <v>Territoire</v>
      </c>
      <c r="F18" s="800" t="str">
        <f>'ADO-25'!$B$12</f>
        <v>AC MESSANCY</v>
      </c>
      <c r="G18" s="800" t="str">
        <f>'ADO-25'!$B$6</f>
        <v>Sponsoring</v>
      </c>
      <c r="H18" s="801">
        <f>'ADO-25'!$B$17</f>
        <v>5000</v>
      </c>
      <c r="I18" s="800" t="str">
        <f>'ADO-25'!$B$7</f>
        <v>Néant</v>
      </c>
      <c r="J18" s="801">
        <f>'ADO-25'!$B$18</f>
        <v>0</v>
      </c>
      <c r="K18" s="801">
        <f>'ADO-25'!$B$21</f>
        <v>1</v>
      </c>
      <c r="L18" s="801">
        <f>'ADO-25'!$B$22</f>
        <v>0</v>
      </c>
      <c r="M18" s="802">
        <f>'ADO-25'!$B$24</f>
        <v>5000</v>
      </c>
      <c r="N18" s="803">
        <f>'ADO-25'!$B$25</f>
        <v>0</v>
      </c>
      <c r="O18" s="804">
        <f t="shared" si="143"/>
        <v>0</v>
      </c>
      <c r="P18" s="805" t="str">
        <f>'ADO-25'!$B$5</f>
        <v>A faire</v>
      </c>
      <c r="Q18" s="806">
        <f>'ADO-25'!$B$16</f>
        <v>2025</v>
      </c>
      <c r="R18" s="807" t="str">
        <f t="shared" si="144"/>
        <v/>
      </c>
      <c r="S18" s="287">
        <f t="shared" si="49"/>
        <v>0</v>
      </c>
      <c r="T18" s="287">
        <f t="shared" si="50"/>
        <v>0</v>
      </c>
      <c r="U18" s="287">
        <f t="shared" si="51"/>
        <v>0</v>
      </c>
      <c r="V18" s="287">
        <f t="shared" si="52"/>
        <v>0</v>
      </c>
      <c r="W18" s="287">
        <f t="shared" si="53"/>
        <v>0</v>
      </c>
      <c r="X18" s="287">
        <f t="shared" si="54"/>
        <v>0</v>
      </c>
      <c r="Y18" s="287">
        <f t="shared" si="55"/>
        <v>0</v>
      </c>
      <c r="AA18" s="287">
        <f t="shared" si="56"/>
        <v>0</v>
      </c>
      <c r="AB18" s="287">
        <f t="shared" si="57"/>
        <v>0</v>
      </c>
      <c r="AC18" s="287">
        <f t="shared" si="58"/>
        <v>0</v>
      </c>
      <c r="AD18" s="287">
        <f t="shared" si="59"/>
        <v>0</v>
      </c>
      <c r="AE18" s="287">
        <f t="shared" si="60"/>
        <v>0</v>
      </c>
      <c r="AF18" s="287">
        <f t="shared" si="61"/>
        <v>0</v>
      </c>
      <c r="AG18" s="287">
        <f t="shared" si="62"/>
        <v>0</v>
      </c>
      <c r="AI18" s="287">
        <f t="shared" si="63"/>
        <v>0</v>
      </c>
      <c r="AJ18" s="287">
        <f t="shared" si="64"/>
        <v>0</v>
      </c>
      <c r="AK18" s="287">
        <f t="shared" si="65"/>
        <v>0</v>
      </c>
      <c r="AL18" s="287">
        <f t="shared" si="66"/>
        <v>0</v>
      </c>
      <c r="AM18" s="287">
        <f t="shared" si="67"/>
        <v>0</v>
      </c>
      <c r="AN18" s="287">
        <f t="shared" si="68"/>
        <v>0</v>
      </c>
      <c r="AO18" s="287">
        <f t="shared" si="69"/>
        <v>0</v>
      </c>
      <c r="AQ18" s="287">
        <f t="shared" si="70"/>
        <v>0</v>
      </c>
      <c r="AR18" s="287">
        <f t="shared" si="71"/>
        <v>0</v>
      </c>
      <c r="AS18" s="287">
        <f t="shared" si="72"/>
        <v>0</v>
      </c>
      <c r="AT18" s="287">
        <f t="shared" si="73"/>
        <v>0</v>
      </c>
      <c r="AU18" s="287">
        <f t="shared" si="74"/>
        <v>0</v>
      </c>
      <c r="AV18" s="287">
        <f t="shared" si="75"/>
        <v>0</v>
      </c>
      <c r="AW18" s="287">
        <f t="shared" si="76"/>
        <v>0</v>
      </c>
      <c r="AY18" s="287">
        <f t="shared" si="77"/>
        <v>0</v>
      </c>
      <c r="AZ18" s="287">
        <f t="shared" si="78"/>
        <v>0</v>
      </c>
      <c r="BA18" s="287">
        <f t="shared" si="79"/>
        <v>0</v>
      </c>
      <c r="BB18" s="287">
        <f t="shared" si="80"/>
        <v>0</v>
      </c>
      <c r="BC18" s="287">
        <f t="shared" si="81"/>
        <v>0</v>
      </c>
      <c r="BD18" s="287">
        <f t="shared" si="82"/>
        <v>0</v>
      </c>
      <c r="BE18" s="287">
        <f t="shared" si="83"/>
        <v>0</v>
      </c>
      <c r="BG18" s="287">
        <f t="shared" si="84"/>
        <v>0</v>
      </c>
      <c r="BH18" s="287">
        <f t="shared" si="85"/>
        <v>0</v>
      </c>
      <c r="BI18" s="287">
        <f t="shared" si="86"/>
        <v>0</v>
      </c>
      <c r="BJ18" s="287">
        <f t="shared" si="87"/>
        <v>0</v>
      </c>
      <c r="BK18" s="290">
        <f t="shared" si="41"/>
        <v>0</v>
      </c>
      <c r="BL18" s="287">
        <f t="shared" si="88"/>
        <v>0</v>
      </c>
      <c r="BN18" s="287">
        <f t="shared" si="89"/>
        <v>0</v>
      </c>
      <c r="BO18" s="287">
        <f t="shared" si="90"/>
        <v>0</v>
      </c>
      <c r="BP18" s="287">
        <f t="shared" si="91"/>
        <v>0</v>
      </c>
      <c r="BQ18" s="287">
        <f t="shared" si="92"/>
        <v>0</v>
      </c>
      <c r="BR18" s="290">
        <f t="shared" si="47"/>
        <v>0</v>
      </c>
      <c r="BS18" s="287">
        <f t="shared" si="93"/>
        <v>0</v>
      </c>
    </row>
    <row r="19" spans="1:71" s="288" customFormat="1" ht="18" customHeight="1" x14ac:dyDescent="0.25">
      <c r="A19" s="370" t="s">
        <v>776</v>
      </c>
      <c r="B19" s="370" t="str">
        <f>'ADO-26'!B$3:E$3</f>
        <v>Mobilisation</v>
      </c>
      <c r="C19" s="799" t="str">
        <f>'ADO-26'!$B$8</f>
        <v>Centrale d'achat</v>
      </c>
      <c r="D19" s="800" t="str">
        <f>'ADO-26'!$B$9</f>
        <v>Centrale d'achat</v>
      </c>
      <c r="E19" s="800" t="str">
        <f>'ADO-26'!$B$4</f>
        <v>Territoire</v>
      </c>
      <c r="F19" s="800" t="str">
        <f>'ADO-26'!$B$12</f>
        <v>AC MESSANCY</v>
      </c>
      <c r="G19" s="800" t="str">
        <f>'ADO-26'!$B$6</f>
        <v>Néant</v>
      </c>
      <c r="H19" s="801">
        <f>'ADO-26'!$B$17</f>
        <v>2000</v>
      </c>
      <c r="I19" s="800" t="str">
        <f>'ADO-26'!$B$7</f>
        <v>Néant</v>
      </c>
      <c r="J19" s="801">
        <f>'ADO-26'!$B$18</f>
        <v>0</v>
      </c>
      <c r="K19" s="801">
        <f>'ADO-26'!$B$21</f>
        <v>1</v>
      </c>
      <c r="L19" s="801">
        <f>'ADO-26'!$B$22</f>
        <v>0</v>
      </c>
      <c r="M19" s="802">
        <f>'ADO-26'!$B$24</f>
        <v>2000</v>
      </c>
      <c r="N19" s="803">
        <f>'ADO-26'!$B$25</f>
        <v>0</v>
      </c>
      <c r="O19" s="804">
        <f t="shared" si="143"/>
        <v>0</v>
      </c>
      <c r="P19" s="805" t="str">
        <f>'ADO-26'!$B$5</f>
        <v>A faire</v>
      </c>
      <c r="Q19" s="806">
        <f>'ADO-26'!$B$16</f>
        <v>2030</v>
      </c>
      <c r="R19" s="807" t="str">
        <f t="shared" si="144"/>
        <v/>
      </c>
      <c r="S19" s="287">
        <f t="shared" si="49"/>
        <v>0</v>
      </c>
      <c r="T19" s="287">
        <f t="shared" si="50"/>
        <v>0</v>
      </c>
      <c r="U19" s="287">
        <f t="shared" si="51"/>
        <v>0</v>
      </c>
      <c r="V19" s="287">
        <f t="shared" si="52"/>
        <v>0</v>
      </c>
      <c r="W19" s="287">
        <f t="shared" si="53"/>
        <v>0</v>
      </c>
      <c r="X19" s="287">
        <f t="shared" si="54"/>
        <v>0</v>
      </c>
      <c r="Y19" s="287">
        <f t="shared" si="55"/>
        <v>0</v>
      </c>
      <c r="AA19" s="287">
        <f t="shared" si="56"/>
        <v>0</v>
      </c>
      <c r="AB19" s="287">
        <f t="shared" si="57"/>
        <v>0</v>
      </c>
      <c r="AC19" s="287">
        <f t="shared" si="58"/>
        <v>0</v>
      </c>
      <c r="AD19" s="287">
        <f t="shared" si="59"/>
        <v>0</v>
      </c>
      <c r="AE19" s="287">
        <f t="shared" si="60"/>
        <v>0</v>
      </c>
      <c r="AF19" s="287">
        <f t="shared" si="61"/>
        <v>0</v>
      </c>
      <c r="AG19" s="287">
        <f t="shared" si="62"/>
        <v>0</v>
      </c>
      <c r="AI19" s="287">
        <f t="shared" si="63"/>
        <v>0</v>
      </c>
      <c r="AJ19" s="287">
        <f t="shared" si="64"/>
        <v>0</v>
      </c>
      <c r="AK19" s="287">
        <f t="shared" si="65"/>
        <v>0</v>
      </c>
      <c r="AL19" s="287">
        <f t="shared" si="66"/>
        <v>0</v>
      </c>
      <c r="AM19" s="287">
        <f t="shared" si="67"/>
        <v>0</v>
      </c>
      <c r="AN19" s="287">
        <f t="shared" si="68"/>
        <v>0</v>
      </c>
      <c r="AO19" s="287">
        <f t="shared" si="69"/>
        <v>0</v>
      </c>
      <c r="AQ19" s="287">
        <f t="shared" si="70"/>
        <v>0</v>
      </c>
      <c r="AR19" s="287">
        <f t="shared" si="71"/>
        <v>0</v>
      </c>
      <c r="AS19" s="287">
        <f t="shared" si="72"/>
        <v>0</v>
      </c>
      <c r="AT19" s="287">
        <f t="shared" si="73"/>
        <v>0</v>
      </c>
      <c r="AU19" s="287">
        <f t="shared" si="74"/>
        <v>0</v>
      </c>
      <c r="AV19" s="287">
        <f t="shared" si="75"/>
        <v>0</v>
      </c>
      <c r="AW19" s="287">
        <f t="shared" si="76"/>
        <v>0</v>
      </c>
      <c r="AY19" s="287">
        <f t="shared" si="77"/>
        <v>0</v>
      </c>
      <c r="AZ19" s="287">
        <f t="shared" si="78"/>
        <v>0</v>
      </c>
      <c r="BA19" s="287">
        <f t="shared" si="79"/>
        <v>0</v>
      </c>
      <c r="BB19" s="287">
        <f t="shared" si="80"/>
        <v>0</v>
      </c>
      <c r="BC19" s="287">
        <f t="shared" si="81"/>
        <v>0</v>
      </c>
      <c r="BD19" s="287">
        <f t="shared" si="82"/>
        <v>0</v>
      </c>
      <c r="BE19" s="287">
        <f t="shared" si="83"/>
        <v>0</v>
      </c>
      <c r="BG19" s="287">
        <f t="shared" si="84"/>
        <v>0</v>
      </c>
      <c r="BH19" s="287">
        <f t="shared" si="85"/>
        <v>0</v>
      </c>
      <c r="BI19" s="287">
        <f t="shared" si="86"/>
        <v>0</v>
      </c>
      <c r="BJ19" s="287">
        <f t="shared" si="87"/>
        <v>0</v>
      </c>
      <c r="BK19" s="290">
        <f t="shared" si="41"/>
        <v>0</v>
      </c>
      <c r="BL19" s="287">
        <f t="shared" si="88"/>
        <v>0</v>
      </c>
      <c r="BN19" s="287">
        <f t="shared" si="89"/>
        <v>0</v>
      </c>
      <c r="BO19" s="287">
        <f t="shared" si="90"/>
        <v>0</v>
      </c>
      <c r="BP19" s="287">
        <f t="shared" si="91"/>
        <v>0</v>
      </c>
      <c r="BQ19" s="287">
        <f t="shared" si="92"/>
        <v>0</v>
      </c>
      <c r="BR19" s="290">
        <f t="shared" si="47"/>
        <v>0</v>
      </c>
      <c r="BS19" s="287">
        <f t="shared" si="93"/>
        <v>0</v>
      </c>
    </row>
    <row r="20" spans="1:71" s="288" customFormat="1" ht="18" customHeight="1" x14ac:dyDescent="0.25">
      <c r="A20" s="370" t="s">
        <v>777</v>
      </c>
      <c r="B20" s="370" t="str">
        <f>'ADO-27'!B$3:E$3</f>
        <v>Mobilisation</v>
      </c>
      <c r="C20" s="799" t="str">
        <f>'ADO-27'!$B$8</f>
        <v>Tous publics</v>
      </c>
      <c r="D20" s="800" t="str">
        <f>'ADO-27'!$B$9</f>
        <v>Analyse thermographique</v>
      </c>
      <c r="E20" s="800" t="str">
        <f>'ADO-27'!$B$4</f>
        <v>Communal</v>
      </c>
      <c r="F20" s="800" t="str">
        <f>'ADO-27'!$B$12</f>
        <v>AC MESSANCY</v>
      </c>
      <c r="G20" s="800" t="str">
        <f>'ADO-27'!$B$6</f>
        <v>Fonds propres</v>
      </c>
      <c r="H20" s="801">
        <f>'ADO-27'!$B$17</f>
        <v>25000</v>
      </c>
      <c r="I20" s="800" t="str">
        <f>'ADO-27'!$B$7</f>
        <v>Néant</v>
      </c>
      <c r="J20" s="801">
        <f>'ADO-27'!$B$18</f>
        <v>0</v>
      </c>
      <c r="K20" s="801">
        <f>'ADO-27'!$B$21</f>
        <v>1</v>
      </c>
      <c r="L20" s="801">
        <f>'ADO-27'!$B$22</f>
        <v>0</v>
      </c>
      <c r="M20" s="802">
        <f>'ADO-27'!$B$24</f>
        <v>25000</v>
      </c>
      <c r="N20" s="803">
        <f>'ADO-27'!$B$25</f>
        <v>0</v>
      </c>
      <c r="O20" s="804">
        <f t="shared" si="143"/>
        <v>0</v>
      </c>
      <c r="P20" s="805" t="str">
        <f>'ADO-27'!$B$5</f>
        <v>A faire</v>
      </c>
      <c r="Q20" s="806">
        <f>'ADO-27'!$B$16</f>
        <v>2030</v>
      </c>
      <c r="R20" s="807" t="str">
        <f t="shared" si="144"/>
        <v/>
      </c>
      <c r="S20" s="287">
        <f t="shared" si="49"/>
        <v>0</v>
      </c>
      <c r="T20" s="287">
        <f t="shared" si="50"/>
        <v>0</v>
      </c>
      <c r="U20" s="287">
        <f t="shared" si="51"/>
        <v>0</v>
      </c>
      <c r="V20" s="287">
        <f t="shared" si="52"/>
        <v>0</v>
      </c>
      <c r="W20" s="287">
        <f t="shared" si="53"/>
        <v>0</v>
      </c>
      <c r="X20" s="287">
        <f t="shared" si="54"/>
        <v>0</v>
      </c>
      <c r="Y20" s="287">
        <f t="shared" si="55"/>
        <v>0</v>
      </c>
      <c r="AA20" s="287">
        <f t="shared" si="56"/>
        <v>0</v>
      </c>
      <c r="AB20" s="287">
        <f t="shared" si="57"/>
        <v>0</v>
      </c>
      <c r="AC20" s="287">
        <f t="shared" si="58"/>
        <v>0</v>
      </c>
      <c r="AD20" s="287">
        <f t="shared" si="59"/>
        <v>0</v>
      </c>
      <c r="AE20" s="287">
        <f t="shared" si="60"/>
        <v>0</v>
      </c>
      <c r="AF20" s="287">
        <f t="shared" si="61"/>
        <v>0</v>
      </c>
      <c r="AG20" s="287">
        <f t="shared" si="62"/>
        <v>0</v>
      </c>
      <c r="AI20" s="287">
        <f t="shared" si="63"/>
        <v>0</v>
      </c>
      <c r="AJ20" s="287">
        <f t="shared" si="64"/>
        <v>0</v>
      </c>
      <c r="AK20" s="287">
        <f t="shared" si="65"/>
        <v>0</v>
      </c>
      <c r="AL20" s="287">
        <f t="shared" si="66"/>
        <v>0</v>
      </c>
      <c r="AM20" s="287">
        <f t="shared" si="67"/>
        <v>0</v>
      </c>
      <c r="AN20" s="287">
        <f t="shared" si="68"/>
        <v>0</v>
      </c>
      <c r="AO20" s="287">
        <f t="shared" si="69"/>
        <v>0</v>
      </c>
      <c r="AQ20" s="287">
        <f t="shared" si="70"/>
        <v>0</v>
      </c>
      <c r="AR20" s="287">
        <f t="shared" si="71"/>
        <v>0</v>
      </c>
      <c r="AS20" s="287">
        <f t="shared" si="72"/>
        <v>0</v>
      </c>
      <c r="AT20" s="287">
        <f t="shared" si="73"/>
        <v>0</v>
      </c>
      <c r="AU20" s="287">
        <f t="shared" si="74"/>
        <v>0</v>
      </c>
      <c r="AV20" s="287">
        <f t="shared" si="75"/>
        <v>0</v>
      </c>
      <c r="AW20" s="287">
        <f t="shared" si="76"/>
        <v>0</v>
      </c>
      <c r="AY20" s="287">
        <f t="shared" si="77"/>
        <v>0</v>
      </c>
      <c r="AZ20" s="287">
        <f t="shared" si="78"/>
        <v>0</v>
      </c>
      <c r="BA20" s="287">
        <f t="shared" si="79"/>
        <v>0</v>
      </c>
      <c r="BB20" s="287">
        <f t="shared" si="80"/>
        <v>0</v>
      </c>
      <c r="BC20" s="287">
        <f t="shared" si="81"/>
        <v>0</v>
      </c>
      <c r="BD20" s="287">
        <f t="shared" si="82"/>
        <v>0</v>
      </c>
      <c r="BE20" s="287">
        <f t="shared" si="83"/>
        <v>0</v>
      </c>
      <c r="BG20" s="287">
        <f t="shared" si="84"/>
        <v>0</v>
      </c>
      <c r="BH20" s="287">
        <f t="shared" si="85"/>
        <v>0</v>
      </c>
      <c r="BI20" s="287">
        <f t="shared" si="86"/>
        <v>0</v>
      </c>
      <c r="BJ20" s="287">
        <f t="shared" si="87"/>
        <v>0</v>
      </c>
      <c r="BK20" s="290">
        <f t="shared" si="41"/>
        <v>0</v>
      </c>
      <c r="BL20" s="287">
        <f t="shared" si="88"/>
        <v>0</v>
      </c>
      <c r="BN20" s="287">
        <f t="shared" si="89"/>
        <v>0</v>
      </c>
      <c r="BO20" s="287">
        <f t="shared" si="90"/>
        <v>0</v>
      </c>
      <c r="BP20" s="287">
        <f t="shared" si="91"/>
        <v>0</v>
      </c>
      <c r="BQ20" s="287">
        <f t="shared" si="92"/>
        <v>0</v>
      </c>
      <c r="BR20" s="290">
        <f t="shared" si="47"/>
        <v>0</v>
      </c>
      <c r="BS20" s="287">
        <f t="shared" si="93"/>
        <v>0</v>
      </c>
    </row>
    <row r="21" spans="1:71" s="288" customFormat="1" ht="18" customHeight="1" x14ac:dyDescent="0.25">
      <c r="A21" s="370" t="s">
        <v>778</v>
      </c>
      <c r="B21" s="370" t="str">
        <f>'ADO-28'!B$3:E$3</f>
        <v>Mobilisation</v>
      </c>
      <c r="C21" s="799" t="str">
        <f>'ADO-28'!$B$8</f>
        <v>Grand public</v>
      </c>
      <c r="D21" s="800" t="str">
        <f>'ADO-28'!$B$9</f>
        <v>Incitant à la contribution au PAED</v>
      </c>
      <c r="E21" s="800" t="str">
        <f>'ADO-28'!$B$4</f>
        <v>Territoire</v>
      </c>
      <c r="F21" s="800" t="str">
        <f>'ADO-28'!$B$12</f>
        <v>AC MESSANCY</v>
      </c>
      <c r="G21" s="800" t="str">
        <f>'ADO-28'!$B$6</f>
        <v>Fonds propres</v>
      </c>
      <c r="H21" s="801">
        <f>'ADO-28'!$B$17</f>
        <v>97410</v>
      </c>
      <c r="I21" s="800" t="str">
        <f>'ADO-28'!$B$7</f>
        <v>Subs RW</v>
      </c>
      <c r="J21" s="801">
        <f>'ADO-28'!$B$18</f>
        <v>0</v>
      </c>
      <c r="K21" s="801">
        <f>'ADO-28'!$B$21</f>
        <v>1</v>
      </c>
      <c r="L21" s="801">
        <f>'ADO-28'!$B$22</f>
        <v>0</v>
      </c>
      <c r="M21" s="802">
        <f>'ADO-28'!$B$24</f>
        <v>97410</v>
      </c>
      <c r="N21" s="803">
        <f>'ADO-28'!$B$25</f>
        <v>0</v>
      </c>
      <c r="O21" s="804">
        <f t="shared" si="143"/>
        <v>0</v>
      </c>
      <c r="P21" s="805" t="str">
        <f>'ADO-28'!$B$5</f>
        <v>A faire</v>
      </c>
      <c r="Q21" s="806">
        <f>'ADO-28'!$B$16</f>
        <v>2030</v>
      </c>
      <c r="R21" s="807" t="str">
        <f t="shared" si="144"/>
        <v/>
      </c>
      <c r="S21" s="287">
        <f t="shared" si="49"/>
        <v>0</v>
      </c>
      <c r="T21" s="287">
        <f t="shared" si="50"/>
        <v>0</v>
      </c>
      <c r="U21" s="287">
        <f t="shared" si="51"/>
        <v>0</v>
      </c>
      <c r="V21" s="287">
        <f t="shared" si="52"/>
        <v>0</v>
      </c>
      <c r="W21" s="287">
        <f t="shared" si="53"/>
        <v>0</v>
      </c>
      <c r="X21" s="287">
        <f t="shared" si="54"/>
        <v>0</v>
      </c>
      <c r="Y21" s="287">
        <f t="shared" si="55"/>
        <v>0</v>
      </c>
      <c r="AA21" s="287">
        <f t="shared" si="56"/>
        <v>0</v>
      </c>
      <c r="AB21" s="287">
        <f t="shared" si="57"/>
        <v>0</v>
      </c>
      <c r="AC21" s="287">
        <f t="shared" si="58"/>
        <v>0</v>
      </c>
      <c r="AD21" s="287">
        <f t="shared" si="59"/>
        <v>0</v>
      </c>
      <c r="AE21" s="287">
        <f t="shared" si="60"/>
        <v>0</v>
      </c>
      <c r="AF21" s="287">
        <f t="shared" si="61"/>
        <v>0</v>
      </c>
      <c r="AG21" s="287">
        <f t="shared" si="62"/>
        <v>0</v>
      </c>
      <c r="AI21" s="287">
        <f t="shared" si="63"/>
        <v>0</v>
      </c>
      <c r="AJ21" s="287">
        <f t="shared" si="64"/>
        <v>0</v>
      </c>
      <c r="AK21" s="287">
        <f t="shared" si="65"/>
        <v>0</v>
      </c>
      <c r="AL21" s="287">
        <f t="shared" si="66"/>
        <v>0</v>
      </c>
      <c r="AM21" s="287">
        <f t="shared" si="67"/>
        <v>0</v>
      </c>
      <c r="AN21" s="287">
        <f t="shared" si="68"/>
        <v>0</v>
      </c>
      <c r="AO21" s="287">
        <f t="shared" si="69"/>
        <v>0</v>
      </c>
      <c r="AQ21" s="287">
        <f t="shared" si="70"/>
        <v>0</v>
      </c>
      <c r="AR21" s="287">
        <f t="shared" si="71"/>
        <v>0</v>
      </c>
      <c r="AS21" s="287">
        <f t="shared" si="72"/>
        <v>0</v>
      </c>
      <c r="AT21" s="287">
        <f t="shared" si="73"/>
        <v>0</v>
      </c>
      <c r="AU21" s="287">
        <f t="shared" si="74"/>
        <v>0</v>
      </c>
      <c r="AV21" s="287">
        <f t="shared" si="75"/>
        <v>0</v>
      </c>
      <c r="AW21" s="287">
        <f t="shared" si="76"/>
        <v>0</v>
      </c>
      <c r="AY21" s="287">
        <f t="shared" si="77"/>
        <v>0</v>
      </c>
      <c r="AZ21" s="287">
        <f t="shared" si="78"/>
        <v>0</v>
      </c>
      <c r="BA21" s="287">
        <f t="shared" si="79"/>
        <v>0</v>
      </c>
      <c r="BB21" s="287">
        <f t="shared" si="80"/>
        <v>0</v>
      </c>
      <c r="BC21" s="287">
        <f t="shared" si="81"/>
        <v>0</v>
      </c>
      <c r="BD21" s="287">
        <f t="shared" si="82"/>
        <v>0</v>
      </c>
      <c r="BE21" s="287">
        <f t="shared" si="83"/>
        <v>0</v>
      </c>
      <c r="BG21" s="287">
        <f t="shared" si="84"/>
        <v>0</v>
      </c>
      <c r="BH21" s="287">
        <f t="shared" si="85"/>
        <v>0</v>
      </c>
      <c r="BI21" s="287">
        <f t="shared" si="86"/>
        <v>0</v>
      </c>
      <c r="BJ21" s="287">
        <f t="shared" si="87"/>
        <v>0</v>
      </c>
      <c r="BK21" s="290">
        <f t="shared" si="41"/>
        <v>0</v>
      </c>
      <c r="BL21" s="287">
        <f t="shared" si="88"/>
        <v>0</v>
      </c>
      <c r="BN21" s="287">
        <f t="shared" si="89"/>
        <v>0</v>
      </c>
      <c r="BO21" s="287">
        <f t="shared" si="90"/>
        <v>0</v>
      </c>
      <c r="BP21" s="287">
        <f t="shared" si="91"/>
        <v>0</v>
      </c>
      <c r="BQ21" s="287">
        <f t="shared" si="92"/>
        <v>0</v>
      </c>
      <c r="BR21" s="290">
        <f t="shared" si="47"/>
        <v>0</v>
      </c>
      <c r="BS21" s="287">
        <f t="shared" si="93"/>
        <v>0</v>
      </c>
    </row>
    <row r="22" spans="1:71" s="288" customFormat="1" ht="18" customHeight="1" x14ac:dyDescent="0.25">
      <c r="A22" s="370" t="s">
        <v>867</v>
      </c>
      <c r="B22" s="370" t="str">
        <f>'ADO-29'!B$3:E$3</f>
        <v>Mobilisation</v>
      </c>
      <c r="C22" s="799" t="str">
        <f>'ADO-29'!$B$8</f>
        <v>Personnel communal</v>
      </c>
      <c r="D22" s="800" t="str">
        <f>'ADO-29'!$B$9</f>
        <v xml:space="preserve">Actions URE </v>
      </c>
      <c r="E22" s="800" t="str">
        <f>'ADO-29'!$B$4</f>
        <v>Territoire</v>
      </c>
      <c r="F22" s="800" t="str">
        <f>'ADO-29'!$B$12</f>
        <v>AC MESSANCY</v>
      </c>
      <c r="G22" s="800" t="str">
        <f>'ADO-29'!$B$6</f>
        <v>Fonds propres</v>
      </c>
      <c r="H22" s="801">
        <f>'ADO-29'!$B$17</f>
        <v>2000</v>
      </c>
      <c r="I22" s="800" t="str">
        <f>'ADO-29'!$B$7</f>
        <v>Subs RW</v>
      </c>
      <c r="J22" s="801">
        <f>'ADO-28'!$B$18</f>
        <v>0</v>
      </c>
      <c r="K22" s="801">
        <f>'ADO-29'!$B$21</f>
        <v>279.60000000000002</v>
      </c>
      <c r="L22" s="801">
        <f>'ADO-29'!$B$22</f>
        <v>0</v>
      </c>
      <c r="M22" s="802">
        <f>'ADO-29'!$B$24</f>
        <v>7.1530758226037188</v>
      </c>
      <c r="N22" s="803">
        <f>'ADO-29'!$B$25</f>
        <v>14.461496000000002</v>
      </c>
      <c r="O22" s="804">
        <f>IF(H22=0,0,N22/(H22-J22)*1000)</f>
        <v>7.2307480000000011</v>
      </c>
      <c r="P22" s="805" t="str">
        <f>'ADO-29'!$B$5</f>
        <v>A faire</v>
      </c>
      <c r="Q22" s="806">
        <f>'ADO-29'!$B$16</f>
        <v>2030</v>
      </c>
      <c r="R22" s="807" t="str">
        <f>IF(P22="terminé", N22,"")</f>
        <v/>
      </c>
      <c r="S22" s="287">
        <f t="shared" si="49"/>
        <v>0</v>
      </c>
      <c r="T22" s="287">
        <f t="shared" si="50"/>
        <v>0</v>
      </c>
      <c r="U22" s="287">
        <f t="shared" si="51"/>
        <v>0</v>
      </c>
      <c r="V22" s="287">
        <f t="shared" si="52"/>
        <v>0</v>
      </c>
      <c r="W22" s="287">
        <f t="shared" si="53"/>
        <v>0</v>
      </c>
      <c r="X22" s="287">
        <f t="shared" si="54"/>
        <v>0</v>
      </c>
      <c r="Y22" s="287">
        <f t="shared" si="55"/>
        <v>0</v>
      </c>
      <c r="AA22" s="287">
        <f t="shared" si="56"/>
        <v>0</v>
      </c>
      <c r="AB22" s="287">
        <f t="shared" si="57"/>
        <v>0</v>
      </c>
      <c r="AC22" s="287">
        <f t="shared" si="58"/>
        <v>0</v>
      </c>
      <c r="AD22" s="287">
        <f t="shared" si="59"/>
        <v>0</v>
      </c>
      <c r="AE22" s="287">
        <f t="shared" si="60"/>
        <v>0</v>
      </c>
      <c r="AF22" s="287">
        <f t="shared" si="61"/>
        <v>0</v>
      </c>
      <c r="AG22" s="287">
        <f t="shared" si="62"/>
        <v>0</v>
      </c>
      <c r="AI22" s="287">
        <f t="shared" si="63"/>
        <v>0</v>
      </c>
      <c r="AJ22" s="287">
        <f t="shared" si="64"/>
        <v>0</v>
      </c>
      <c r="AK22" s="287">
        <f t="shared" si="65"/>
        <v>0</v>
      </c>
      <c r="AL22" s="287">
        <f t="shared" si="66"/>
        <v>0</v>
      </c>
      <c r="AM22" s="287">
        <f t="shared" si="67"/>
        <v>0</v>
      </c>
      <c r="AN22" s="287">
        <f t="shared" si="68"/>
        <v>0</v>
      </c>
      <c r="AO22" s="287">
        <f t="shared" si="69"/>
        <v>0</v>
      </c>
      <c r="AQ22" s="287">
        <f t="shared" si="70"/>
        <v>0</v>
      </c>
      <c r="AR22" s="287">
        <f t="shared" si="71"/>
        <v>0</v>
      </c>
      <c r="AS22" s="287">
        <f t="shared" si="72"/>
        <v>0</v>
      </c>
      <c r="AT22" s="287">
        <f t="shared" si="73"/>
        <v>0</v>
      </c>
      <c r="AU22" s="287">
        <f t="shared" si="74"/>
        <v>0</v>
      </c>
      <c r="AV22" s="287">
        <f t="shared" si="75"/>
        <v>0</v>
      </c>
      <c r="AW22" s="287">
        <f t="shared" si="76"/>
        <v>0</v>
      </c>
      <c r="AY22" s="287">
        <f t="shared" si="77"/>
        <v>0</v>
      </c>
      <c r="AZ22" s="287">
        <f t="shared" si="78"/>
        <v>0</v>
      </c>
      <c r="BA22" s="287">
        <f t="shared" si="79"/>
        <v>0</v>
      </c>
      <c r="BB22" s="287">
        <f t="shared" si="80"/>
        <v>0</v>
      </c>
      <c r="BC22" s="287">
        <f t="shared" si="81"/>
        <v>0</v>
      </c>
      <c r="BD22" s="287">
        <f t="shared" si="82"/>
        <v>0</v>
      </c>
      <c r="BE22" s="287">
        <f t="shared" si="83"/>
        <v>0</v>
      </c>
      <c r="BG22" s="287">
        <f t="shared" si="84"/>
        <v>0</v>
      </c>
      <c r="BH22" s="287">
        <f t="shared" si="85"/>
        <v>0</v>
      </c>
      <c r="BI22" s="287">
        <f t="shared" si="86"/>
        <v>0</v>
      </c>
      <c r="BJ22" s="287">
        <f t="shared" si="87"/>
        <v>0</v>
      </c>
      <c r="BK22" s="290">
        <f t="shared" si="41"/>
        <v>0</v>
      </c>
      <c r="BL22" s="287">
        <f t="shared" si="88"/>
        <v>0</v>
      </c>
      <c r="BN22" s="287">
        <f t="shared" si="89"/>
        <v>0</v>
      </c>
      <c r="BO22" s="287">
        <f t="shared" si="90"/>
        <v>0</v>
      </c>
      <c r="BP22" s="287">
        <f t="shared" si="91"/>
        <v>0</v>
      </c>
      <c r="BQ22" s="287">
        <f t="shared" si="92"/>
        <v>0</v>
      </c>
      <c r="BR22" s="290">
        <f t="shared" si="47"/>
        <v>0</v>
      </c>
      <c r="BS22" s="287">
        <f t="shared" si="93"/>
        <v>0</v>
      </c>
    </row>
    <row r="23" spans="1:71" s="288" customFormat="1" ht="18" customHeight="1" x14ac:dyDescent="0.25">
      <c r="A23" s="370" t="s">
        <v>868</v>
      </c>
      <c r="B23" s="370" t="str">
        <f>'ADO-30'!B$3:E$3</f>
        <v>Mobilisation</v>
      </c>
      <c r="C23" s="799" t="str">
        <f>'ADO-30'!$B$8</f>
        <v>Grand public</v>
      </c>
      <c r="D23" s="800" t="str">
        <f>'ADO-30'!$B$9</f>
        <v xml:space="preserve">Groupes pilotes </v>
      </c>
      <c r="E23" s="800" t="str">
        <f>'ADO-30'!$B$4</f>
        <v>Territoire</v>
      </c>
      <c r="F23" s="800" t="str">
        <f>'ADO-30'!$B$12</f>
        <v>AC MESSANCY</v>
      </c>
      <c r="G23" s="800" t="str">
        <f>'ADO-30'!$B$6</f>
        <v>Fonds propres</v>
      </c>
      <c r="H23" s="801">
        <f>'ADO-30'!$B$17</f>
        <v>2000</v>
      </c>
      <c r="I23" s="800" t="str">
        <f>'ADO-30'!$B$7</f>
        <v>Subs RW</v>
      </c>
      <c r="J23" s="801">
        <f>'ADO-30'!$B$18</f>
        <v>0</v>
      </c>
      <c r="K23" s="801">
        <f>'ADO-30'!$B$21</f>
        <v>1</v>
      </c>
      <c r="L23" s="801">
        <f>'ADO-30'!$B$22</f>
        <v>0</v>
      </c>
      <c r="M23" s="802">
        <f>'ADO-30'!$B$24</f>
        <v>2000</v>
      </c>
      <c r="N23" s="803">
        <f>'ADO-30'!$B$25</f>
        <v>0</v>
      </c>
      <c r="O23" s="804">
        <f>IF(H23=0,0,N23/(H23-J23)*1000)</f>
        <v>0</v>
      </c>
      <c r="P23" s="805" t="str">
        <f>'ADO-30'!$B$5</f>
        <v>A faire</v>
      </c>
      <c r="Q23" s="806">
        <f>'ADO-30'!$B$16</f>
        <v>2021</v>
      </c>
      <c r="R23" s="807" t="str">
        <f>IF(P23="terminé", N23,"")</f>
        <v/>
      </c>
      <c r="S23" s="287">
        <f t="shared" si="49"/>
        <v>0</v>
      </c>
      <c r="T23" s="287">
        <f t="shared" si="50"/>
        <v>0</v>
      </c>
      <c r="U23" s="287">
        <f t="shared" si="51"/>
        <v>0</v>
      </c>
      <c r="V23" s="287">
        <f t="shared" si="52"/>
        <v>0</v>
      </c>
      <c r="W23" s="287">
        <f t="shared" si="53"/>
        <v>0</v>
      </c>
      <c r="X23" s="287">
        <f t="shared" si="54"/>
        <v>0</v>
      </c>
      <c r="Y23" s="287">
        <f t="shared" si="55"/>
        <v>0</v>
      </c>
      <c r="AA23" s="287">
        <f t="shared" si="56"/>
        <v>0</v>
      </c>
      <c r="AB23" s="287">
        <f t="shared" si="57"/>
        <v>0</v>
      </c>
      <c r="AC23" s="287">
        <f t="shared" si="58"/>
        <v>0</v>
      </c>
      <c r="AD23" s="287">
        <f t="shared" si="59"/>
        <v>0</v>
      </c>
      <c r="AE23" s="287">
        <f t="shared" si="60"/>
        <v>0</v>
      </c>
      <c r="AF23" s="287">
        <f t="shared" si="61"/>
        <v>0</v>
      </c>
      <c r="AG23" s="287">
        <f t="shared" si="62"/>
        <v>0</v>
      </c>
      <c r="AI23" s="287">
        <f t="shared" si="63"/>
        <v>0</v>
      </c>
      <c r="AJ23" s="287">
        <f t="shared" si="64"/>
        <v>0</v>
      </c>
      <c r="AK23" s="287">
        <f t="shared" si="65"/>
        <v>0</v>
      </c>
      <c r="AL23" s="287">
        <f t="shared" si="66"/>
        <v>0</v>
      </c>
      <c r="AM23" s="287">
        <f t="shared" si="67"/>
        <v>0</v>
      </c>
      <c r="AN23" s="287">
        <f t="shared" si="68"/>
        <v>0</v>
      </c>
      <c r="AO23" s="287">
        <f t="shared" si="69"/>
        <v>0</v>
      </c>
      <c r="AQ23" s="287">
        <f t="shared" si="70"/>
        <v>0</v>
      </c>
      <c r="AR23" s="287">
        <f t="shared" si="71"/>
        <v>0</v>
      </c>
      <c r="AS23" s="287">
        <f t="shared" si="72"/>
        <v>0</v>
      </c>
      <c r="AT23" s="287">
        <f t="shared" si="73"/>
        <v>0</v>
      </c>
      <c r="AU23" s="287">
        <f t="shared" si="74"/>
        <v>0</v>
      </c>
      <c r="AV23" s="287">
        <f t="shared" si="75"/>
        <v>0</v>
      </c>
      <c r="AW23" s="287">
        <f t="shared" si="76"/>
        <v>0</v>
      </c>
      <c r="AY23" s="287">
        <f t="shared" si="77"/>
        <v>0</v>
      </c>
      <c r="AZ23" s="287">
        <f t="shared" si="78"/>
        <v>0</v>
      </c>
      <c r="BA23" s="287">
        <f t="shared" si="79"/>
        <v>0</v>
      </c>
      <c r="BB23" s="287">
        <f t="shared" si="80"/>
        <v>0</v>
      </c>
      <c r="BC23" s="287">
        <f t="shared" si="81"/>
        <v>0</v>
      </c>
      <c r="BD23" s="287">
        <f t="shared" si="82"/>
        <v>0</v>
      </c>
      <c r="BE23" s="287">
        <f t="shared" si="83"/>
        <v>0</v>
      </c>
      <c r="BG23" s="287">
        <f t="shared" si="84"/>
        <v>0</v>
      </c>
      <c r="BH23" s="287">
        <f t="shared" si="85"/>
        <v>0</v>
      </c>
      <c r="BI23" s="287">
        <f t="shared" si="86"/>
        <v>0</v>
      </c>
      <c r="BJ23" s="287">
        <f t="shared" si="87"/>
        <v>0</v>
      </c>
      <c r="BK23" s="290">
        <f t="shared" si="41"/>
        <v>0</v>
      </c>
      <c r="BL23" s="287">
        <f t="shared" si="88"/>
        <v>0</v>
      </c>
      <c r="BN23" s="287">
        <f t="shared" si="89"/>
        <v>0</v>
      </c>
      <c r="BO23" s="287">
        <f t="shared" si="90"/>
        <v>0</v>
      </c>
      <c r="BP23" s="287">
        <f t="shared" si="91"/>
        <v>0</v>
      </c>
      <c r="BQ23" s="287">
        <f t="shared" si="92"/>
        <v>0</v>
      </c>
      <c r="BR23" s="290">
        <f t="shared" si="47"/>
        <v>0</v>
      </c>
      <c r="BS23" s="287">
        <f t="shared" si="93"/>
        <v>0</v>
      </c>
    </row>
    <row r="24" spans="1:71" s="858" customFormat="1" ht="18" customHeight="1" x14ac:dyDescent="0.25">
      <c r="A24" s="847" t="s">
        <v>869</v>
      </c>
      <c r="B24" s="847" t="str">
        <f>'ADO-31'!B$3:E$3</f>
        <v>Mobilisation</v>
      </c>
      <c r="C24" s="848">
        <f>'ADO-31'!$B$8</f>
        <v>0</v>
      </c>
      <c r="D24" s="849">
        <f>'ADO-31'!$B$9</f>
        <v>0</v>
      </c>
      <c r="E24" s="849" t="str">
        <f>'ADO-31'!$B$4</f>
        <v>Territoire</v>
      </c>
      <c r="F24" s="849">
        <f>'ADO-31'!$B$12</f>
        <v>0</v>
      </c>
      <c r="G24" s="849" t="str">
        <f>'ADO-31'!$B$6</f>
        <v>Néant</v>
      </c>
      <c r="H24" s="850">
        <f>'ADO-31'!$B$17</f>
        <v>0</v>
      </c>
      <c r="I24" s="849" t="str">
        <f>'ADO-31'!$B$7</f>
        <v>Néant</v>
      </c>
      <c r="J24" s="850">
        <f>'ADO-31'!$B$18</f>
        <v>0</v>
      </c>
      <c r="K24" s="850">
        <f>'ADO-31'!$B$21</f>
        <v>1</v>
      </c>
      <c r="L24" s="850">
        <f>'ADO-31'!$B$22</f>
        <v>0</v>
      </c>
      <c r="M24" s="851">
        <f>'ADO-31'!$B$24</f>
        <v>0</v>
      </c>
      <c r="N24" s="852">
        <f>'ADO-31'!$B$25</f>
        <v>0</v>
      </c>
      <c r="O24" s="853">
        <f>IF(H24=0,0,N24/(H24-J24)*1000)</f>
        <v>0</v>
      </c>
      <c r="P24" s="854" t="str">
        <f>'ADO-31'!$B$5</f>
        <v>Ne pas réaliser</v>
      </c>
      <c r="Q24" s="855">
        <f>'ADO-31'!$B$16</f>
        <v>0</v>
      </c>
      <c r="R24" s="856" t="str">
        <f>IF(P24="terminé", N24,"")</f>
        <v/>
      </c>
      <c r="S24" s="857">
        <f t="shared" si="49"/>
        <v>0</v>
      </c>
      <c r="T24" s="857">
        <f t="shared" si="50"/>
        <v>0</v>
      </c>
      <c r="U24" s="857">
        <f t="shared" si="51"/>
        <v>0</v>
      </c>
      <c r="V24" s="857">
        <f t="shared" si="52"/>
        <v>0</v>
      </c>
      <c r="W24" s="857">
        <f t="shared" si="53"/>
        <v>0</v>
      </c>
      <c r="X24" s="857">
        <f t="shared" si="54"/>
        <v>0</v>
      </c>
      <c r="Y24" s="857">
        <f t="shared" si="55"/>
        <v>0</v>
      </c>
      <c r="AA24" s="857">
        <f t="shared" si="56"/>
        <v>0</v>
      </c>
      <c r="AB24" s="857">
        <f t="shared" si="57"/>
        <v>0</v>
      </c>
      <c r="AC24" s="857">
        <f t="shared" si="58"/>
        <v>0</v>
      </c>
      <c r="AD24" s="857">
        <f t="shared" si="59"/>
        <v>0</v>
      </c>
      <c r="AE24" s="857">
        <f t="shared" si="60"/>
        <v>0</v>
      </c>
      <c r="AF24" s="857">
        <f t="shared" si="61"/>
        <v>0</v>
      </c>
      <c r="AG24" s="857">
        <f t="shared" si="62"/>
        <v>0</v>
      </c>
      <c r="AI24" s="857">
        <f t="shared" si="63"/>
        <v>0</v>
      </c>
      <c r="AJ24" s="857">
        <f t="shared" si="64"/>
        <v>0</v>
      </c>
      <c r="AK24" s="857">
        <f t="shared" si="65"/>
        <v>0</v>
      </c>
      <c r="AL24" s="857">
        <f t="shared" si="66"/>
        <v>0</v>
      </c>
      <c r="AM24" s="857">
        <f t="shared" si="67"/>
        <v>0</v>
      </c>
      <c r="AN24" s="857">
        <f t="shared" si="68"/>
        <v>0</v>
      </c>
      <c r="AO24" s="857">
        <f t="shared" si="69"/>
        <v>0</v>
      </c>
      <c r="AQ24" s="857">
        <f t="shared" si="70"/>
        <v>0</v>
      </c>
      <c r="AR24" s="857">
        <f t="shared" si="71"/>
        <v>0</v>
      </c>
      <c r="AS24" s="857">
        <f t="shared" si="72"/>
        <v>0</v>
      </c>
      <c r="AT24" s="857">
        <f t="shared" si="73"/>
        <v>0</v>
      </c>
      <c r="AU24" s="857">
        <f t="shared" si="74"/>
        <v>0</v>
      </c>
      <c r="AV24" s="857">
        <f t="shared" si="75"/>
        <v>0</v>
      </c>
      <c r="AW24" s="857">
        <f t="shared" si="76"/>
        <v>0</v>
      </c>
      <c r="AY24" s="857">
        <f t="shared" si="77"/>
        <v>0</v>
      </c>
      <c r="AZ24" s="857">
        <f t="shared" si="78"/>
        <v>0</v>
      </c>
      <c r="BA24" s="857">
        <f t="shared" si="79"/>
        <v>0</v>
      </c>
      <c r="BB24" s="857">
        <f t="shared" si="80"/>
        <v>0</v>
      </c>
      <c r="BC24" s="857">
        <f t="shared" si="81"/>
        <v>0</v>
      </c>
      <c r="BD24" s="857">
        <f t="shared" si="82"/>
        <v>0</v>
      </c>
      <c r="BE24" s="857">
        <f t="shared" si="83"/>
        <v>0</v>
      </c>
      <c r="BG24" s="857">
        <f t="shared" si="84"/>
        <v>0</v>
      </c>
      <c r="BH24" s="857">
        <f t="shared" si="85"/>
        <v>0</v>
      </c>
      <c r="BI24" s="857">
        <f t="shared" si="86"/>
        <v>0</v>
      </c>
      <c r="BJ24" s="857">
        <f t="shared" si="87"/>
        <v>0</v>
      </c>
      <c r="BK24" s="859">
        <f t="shared" si="41"/>
        <v>0</v>
      </c>
      <c r="BL24" s="857">
        <f t="shared" si="88"/>
        <v>0</v>
      </c>
      <c r="BN24" s="857">
        <f t="shared" si="89"/>
        <v>0</v>
      </c>
      <c r="BO24" s="857">
        <f t="shared" si="90"/>
        <v>0</v>
      </c>
      <c r="BP24" s="857">
        <f t="shared" si="91"/>
        <v>0</v>
      </c>
      <c r="BQ24" s="857">
        <f t="shared" si="92"/>
        <v>0</v>
      </c>
      <c r="BR24" s="859">
        <f t="shared" si="47"/>
        <v>0</v>
      </c>
      <c r="BS24" s="857">
        <f t="shared" si="93"/>
        <v>0</v>
      </c>
    </row>
    <row r="25" spans="1:71" s="288" customFormat="1" ht="18" customHeight="1" x14ac:dyDescent="0.25">
      <c r="A25" s="370" t="s">
        <v>870</v>
      </c>
      <c r="B25" s="370" t="str">
        <f>'ADO-32'!B$3:E$3</f>
        <v>Mobilisation</v>
      </c>
      <c r="C25" s="799" t="str">
        <f>'ADO-32'!$B$8</f>
        <v>Logement</v>
      </c>
      <c r="D25" s="800" t="str">
        <f>'ADO-32'!$B$9</f>
        <v>Renov'Energie</v>
      </c>
      <c r="E25" s="800" t="str">
        <f>'ADO-32'!$B$4</f>
        <v>Territoire</v>
      </c>
      <c r="F25" s="800" t="str">
        <f>'ADO-32'!$B$12</f>
        <v>AC MESSANCY</v>
      </c>
      <c r="G25" s="800" t="str">
        <f>'ADO-32'!$B$6</f>
        <v>Fonds propres</v>
      </c>
      <c r="H25" s="801">
        <f>'ADO-32'!$B$17</f>
        <v>27000</v>
      </c>
      <c r="I25" s="800" t="str">
        <f>'ADO-32'!$B$7</f>
        <v>Néant</v>
      </c>
      <c r="J25" s="801">
        <f>'ADO-32'!$B$18</f>
        <v>0</v>
      </c>
      <c r="K25" s="801">
        <f>'ADO-32'!$B$21</f>
        <v>1</v>
      </c>
      <c r="L25" s="801">
        <f>'ADO-32'!$B$22</f>
        <v>0</v>
      </c>
      <c r="M25" s="802">
        <f>'ADO-32'!$B$24</f>
        <v>27000</v>
      </c>
      <c r="N25" s="803">
        <f>'ADO-32'!$B$25</f>
        <v>0</v>
      </c>
      <c r="O25" s="804">
        <f>IF(H25=0,0,N25/(H25-J25)*1000)</f>
        <v>0</v>
      </c>
      <c r="P25" s="805" t="str">
        <f>'ADO-32'!$B$5</f>
        <v>A faire</v>
      </c>
      <c r="Q25" s="806">
        <f>'ADO-32'!$B$16</f>
        <v>2023</v>
      </c>
      <c r="R25" s="807" t="str">
        <f>IF(P25="terminé", N25,"")</f>
        <v/>
      </c>
      <c r="S25" s="287">
        <f t="shared" si="49"/>
        <v>0</v>
      </c>
      <c r="T25" s="287">
        <f t="shared" si="50"/>
        <v>0</v>
      </c>
      <c r="U25" s="287">
        <f t="shared" si="51"/>
        <v>0</v>
      </c>
      <c r="V25" s="287">
        <f t="shared" si="52"/>
        <v>0</v>
      </c>
      <c r="W25" s="287">
        <f t="shared" si="53"/>
        <v>0</v>
      </c>
      <c r="X25" s="287">
        <f t="shared" si="54"/>
        <v>0</v>
      </c>
      <c r="Y25" s="287">
        <f t="shared" si="55"/>
        <v>0</v>
      </c>
      <c r="AA25" s="287">
        <f t="shared" si="56"/>
        <v>0</v>
      </c>
      <c r="AB25" s="287">
        <f t="shared" si="57"/>
        <v>0</v>
      </c>
      <c r="AC25" s="287">
        <f t="shared" si="58"/>
        <v>0</v>
      </c>
      <c r="AD25" s="287">
        <f t="shared" si="59"/>
        <v>0</v>
      </c>
      <c r="AE25" s="287">
        <f t="shared" si="60"/>
        <v>0</v>
      </c>
      <c r="AF25" s="287">
        <f t="shared" si="61"/>
        <v>0</v>
      </c>
      <c r="AG25" s="287">
        <f t="shared" si="62"/>
        <v>0</v>
      </c>
      <c r="AI25" s="287">
        <f t="shared" si="63"/>
        <v>0</v>
      </c>
      <c r="AJ25" s="287">
        <f t="shared" si="64"/>
        <v>0</v>
      </c>
      <c r="AK25" s="287">
        <f t="shared" si="65"/>
        <v>0</v>
      </c>
      <c r="AL25" s="287">
        <f t="shared" si="66"/>
        <v>0</v>
      </c>
      <c r="AM25" s="287">
        <f t="shared" si="67"/>
        <v>0</v>
      </c>
      <c r="AN25" s="287">
        <f t="shared" si="68"/>
        <v>0</v>
      </c>
      <c r="AO25" s="287">
        <f t="shared" si="69"/>
        <v>0</v>
      </c>
      <c r="AQ25" s="287">
        <f t="shared" si="70"/>
        <v>0</v>
      </c>
      <c r="AR25" s="287">
        <f t="shared" si="71"/>
        <v>0</v>
      </c>
      <c r="AS25" s="287">
        <f t="shared" si="72"/>
        <v>0</v>
      </c>
      <c r="AT25" s="287">
        <f t="shared" si="73"/>
        <v>0</v>
      </c>
      <c r="AU25" s="287">
        <f t="shared" si="74"/>
        <v>0</v>
      </c>
      <c r="AV25" s="287">
        <f t="shared" si="75"/>
        <v>0</v>
      </c>
      <c r="AW25" s="287">
        <f t="shared" si="76"/>
        <v>0</v>
      </c>
      <c r="AY25" s="287">
        <f t="shared" si="77"/>
        <v>0</v>
      </c>
      <c r="AZ25" s="287">
        <f t="shared" si="78"/>
        <v>0</v>
      </c>
      <c r="BA25" s="287">
        <f t="shared" si="79"/>
        <v>0</v>
      </c>
      <c r="BB25" s="287">
        <f t="shared" si="80"/>
        <v>0</v>
      </c>
      <c r="BC25" s="287">
        <f t="shared" si="81"/>
        <v>0</v>
      </c>
      <c r="BD25" s="287">
        <f t="shared" si="82"/>
        <v>0</v>
      </c>
      <c r="BE25" s="287">
        <f t="shared" si="83"/>
        <v>0</v>
      </c>
      <c r="BG25" s="287">
        <f t="shared" si="84"/>
        <v>0</v>
      </c>
      <c r="BH25" s="287">
        <f t="shared" si="85"/>
        <v>0</v>
      </c>
      <c r="BI25" s="287">
        <f t="shared" si="86"/>
        <v>0</v>
      </c>
      <c r="BJ25" s="287">
        <f t="shared" si="87"/>
        <v>0</v>
      </c>
      <c r="BK25" s="290">
        <f t="shared" si="41"/>
        <v>0</v>
      </c>
      <c r="BL25" s="287">
        <f t="shared" si="88"/>
        <v>0</v>
      </c>
      <c r="BN25" s="287">
        <f t="shared" si="89"/>
        <v>0</v>
      </c>
      <c r="BO25" s="287">
        <f t="shared" si="90"/>
        <v>0</v>
      </c>
      <c r="BP25" s="287">
        <f t="shared" si="91"/>
        <v>0</v>
      </c>
      <c r="BQ25" s="287">
        <f t="shared" si="92"/>
        <v>0</v>
      </c>
      <c r="BR25" s="290">
        <f t="shared" si="47"/>
        <v>0</v>
      </c>
      <c r="BS25" s="287">
        <f t="shared" si="93"/>
        <v>0</v>
      </c>
    </row>
    <row r="26" spans="1:71" s="858" customFormat="1" ht="18" customHeight="1" x14ac:dyDescent="0.25">
      <c r="A26" s="847" t="s">
        <v>871</v>
      </c>
      <c r="B26" s="847" t="str">
        <f>'ADO-33'!B$3:E$3</f>
        <v>Mobilisation</v>
      </c>
      <c r="C26" s="848" t="str">
        <f>'ADO-33'!$B$8</f>
        <v>Secteur touristique</v>
      </c>
      <c r="D26" s="849" t="str">
        <f>'ADO-33'!$B$9</f>
        <v>Sensibilisation du secteur touristique</v>
      </c>
      <c r="E26" s="849" t="str">
        <f>'ADO-33'!$B$4</f>
        <v>Territoire</v>
      </c>
      <c r="F26" s="849" t="str">
        <f>'ADO-33'!$B$12</f>
        <v>AC MESSANCY</v>
      </c>
      <c r="G26" s="849" t="str">
        <f>'ADO-33'!$B$6</f>
        <v>Fonds propres</v>
      </c>
      <c r="H26" s="850">
        <f>'ADO-33'!$B$17</f>
        <v>5000</v>
      </c>
      <c r="I26" s="849" t="str">
        <f>'ADO-33'!$B$7</f>
        <v>Subs RW</v>
      </c>
      <c r="J26" s="850">
        <f>'ADO-33'!$B$18</f>
        <v>0</v>
      </c>
      <c r="K26" s="850">
        <f>'ADO-33'!$B$21</f>
        <v>1</v>
      </c>
      <c r="L26" s="850">
        <f>'ADO-33'!$B$22</f>
        <v>0</v>
      </c>
      <c r="M26" s="851">
        <f>'ADO-33'!$B$24</f>
        <v>5000</v>
      </c>
      <c r="N26" s="852">
        <f>'ADO-33'!$B$25</f>
        <v>0</v>
      </c>
      <c r="O26" s="853">
        <f>IF(H26=0,0,N26/(H26-J26)*1000)</f>
        <v>0</v>
      </c>
      <c r="P26" s="854" t="str">
        <f>'ADO-33'!$B$5</f>
        <v>A investiguer</v>
      </c>
      <c r="Q26" s="855">
        <f>'ADO-33'!$B$16</f>
        <v>2025</v>
      </c>
      <c r="R26" s="856" t="str">
        <f>IF(P26="terminé", N26,"")</f>
        <v/>
      </c>
      <c r="S26" s="857">
        <f t="shared" si="49"/>
        <v>0</v>
      </c>
      <c r="T26" s="857">
        <f t="shared" si="50"/>
        <v>0</v>
      </c>
      <c r="U26" s="857">
        <f t="shared" si="51"/>
        <v>0</v>
      </c>
      <c r="V26" s="857">
        <f t="shared" si="52"/>
        <v>0</v>
      </c>
      <c r="W26" s="857">
        <f t="shared" si="53"/>
        <v>0</v>
      </c>
      <c r="X26" s="857">
        <f t="shared" si="54"/>
        <v>0</v>
      </c>
      <c r="Y26" s="857">
        <f t="shared" si="55"/>
        <v>0</v>
      </c>
      <c r="AA26" s="857">
        <f t="shared" si="56"/>
        <v>0</v>
      </c>
      <c r="AB26" s="857">
        <f t="shared" si="57"/>
        <v>0</v>
      </c>
      <c r="AC26" s="857">
        <f t="shared" si="58"/>
        <v>0</v>
      </c>
      <c r="AD26" s="857">
        <f t="shared" si="59"/>
        <v>0</v>
      </c>
      <c r="AE26" s="857">
        <f t="shared" si="60"/>
        <v>0</v>
      </c>
      <c r="AF26" s="857">
        <f t="shared" si="61"/>
        <v>0</v>
      </c>
      <c r="AG26" s="857">
        <f t="shared" si="62"/>
        <v>0</v>
      </c>
      <c r="AI26" s="857">
        <f t="shared" si="63"/>
        <v>0</v>
      </c>
      <c r="AJ26" s="857">
        <f t="shared" si="64"/>
        <v>0</v>
      </c>
      <c r="AK26" s="857">
        <f t="shared" si="65"/>
        <v>0</v>
      </c>
      <c r="AL26" s="857">
        <f t="shared" si="66"/>
        <v>0</v>
      </c>
      <c r="AM26" s="857">
        <f t="shared" si="67"/>
        <v>0</v>
      </c>
      <c r="AN26" s="857">
        <f t="shared" si="68"/>
        <v>0</v>
      </c>
      <c r="AO26" s="857">
        <f t="shared" si="69"/>
        <v>0</v>
      </c>
      <c r="AQ26" s="857">
        <f t="shared" si="70"/>
        <v>0</v>
      </c>
      <c r="AR26" s="857">
        <f t="shared" si="71"/>
        <v>0</v>
      </c>
      <c r="AS26" s="857">
        <f t="shared" si="72"/>
        <v>0</v>
      </c>
      <c r="AT26" s="857">
        <f t="shared" si="73"/>
        <v>0</v>
      </c>
      <c r="AU26" s="857">
        <f t="shared" si="74"/>
        <v>0</v>
      </c>
      <c r="AV26" s="857">
        <f t="shared" si="75"/>
        <v>0</v>
      </c>
      <c r="AW26" s="857">
        <f t="shared" si="76"/>
        <v>0</v>
      </c>
      <c r="AY26" s="857">
        <f t="shared" si="77"/>
        <v>0</v>
      </c>
      <c r="AZ26" s="857">
        <f t="shared" si="78"/>
        <v>0</v>
      </c>
      <c r="BA26" s="857">
        <f t="shared" si="79"/>
        <v>0</v>
      </c>
      <c r="BB26" s="857">
        <f t="shared" si="80"/>
        <v>0</v>
      </c>
      <c r="BC26" s="857">
        <f t="shared" si="81"/>
        <v>0</v>
      </c>
      <c r="BD26" s="857">
        <f t="shared" si="82"/>
        <v>0</v>
      </c>
      <c r="BE26" s="857">
        <f t="shared" si="83"/>
        <v>0</v>
      </c>
      <c r="BG26" s="857">
        <f t="shared" si="84"/>
        <v>0</v>
      </c>
      <c r="BH26" s="857">
        <f t="shared" si="85"/>
        <v>0</v>
      </c>
      <c r="BI26" s="857">
        <f t="shared" si="86"/>
        <v>0</v>
      </c>
      <c r="BJ26" s="857">
        <f t="shared" si="87"/>
        <v>0</v>
      </c>
      <c r="BK26" s="859">
        <f t="shared" si="41"/>
        <v>0</v>
      </c>
      <c r="BL26" s="857">
        <f t="shared" si="88"/>
        <v>0</v>
      </c>
      <c r="BN26" s="857">
        <f t="shared" si="89"/>
        <v>0</v>
      </c>
      <c r="BO26" s="857">
        <f t="shared" si="90"/>
        <v>0</v>
      </c>
      <c r="BP26" s="857">
        <f t="shared" si="91"/>
        <v>0</v>
      </c>
      <c r="BQ26" s="857">
        <f t="shared" si="92"/>
        <v>0</v>
      </c>
      <c r="BR26" s="859">
        <f t="shared" si="47"/>
        <v>0</v>
      </c>
      <c r="BS26" s="857">
        <f t="shared" si="93"/>
        <v>0</v>
      </c>
    </row>
    <row r="27" spans="1:71" s="288" customFormat="1" ht="18" customHeight="1" x14ac:dyDescent="0.25">
      <c r="A27" s="370" t="s">
        <v>987</v>
      </c>
      <c r="B27" s="370" t="str">
        <f>'ADO-34'!B$3:E$3</f>
        <v>Mobilisation</v>
      </c>
      <c r="C27" s="799" t="str">
        <f>'ADO-34'!$B$8</f>
        <v>Publics précarisés</v>
      </c>
      <c r="D27" s="800" t="str">
        <f>'ADO-34'!$B$9</f>
        <v>Moyens d'actions</v>
      </c>
      <c r="E27" s="800" t="str">
        <f>'ADO-34'!$B$4</f>
        <v>Logement</v>
      </c>
      <c r="F27" s="800" t="str">
        <f>'ADO-34'!$B$12</f>
        <v>AC MESSANCY</v>
      </c>
      <c r="G27" s="800" t="str">
        <f>'ADO-34'!$B$6</f>
        <v>Néant</v>
      </c>
      <c r="H27" s="801">
        <f>'ADO-34'!$B$17</f>
        <v>0</v>
      </c>
      <c r="I27" s="800" t="str">
        <f>'ADO-34'!$B$7</f>
        <v>Néant</v>
      </c>
      <c r="J27" s="801">
        <f>'ADO-34'!$B$18</f>
        <v>0</v>
      </c>
      <c r="K27" s="801">
        <f>'ADO-34'!$B$21</f>
        <v>1</v>
      </c>
      <c r="L27" s="801">
        <f>'ADO-34'!$B$22</f>
        <v>0</v>
      </c>
      <c r="M27" s="802">
        <f>'ADO-34'!$B$24</f>
        <v>0</v>
      </c>
      <c r="N27" s="803">
        <f>'ADO-34'!$B$25</f>
        <v>0</v>
      </c>
      <c r="O27" s="804">
        <f t="shared" ref="O27:O28" si="145">IF(H27=0,0,N27/(H27-J27)*1000)</f>
        <v>0</v>
      </c>
      <c r="P27" s="805" t="str">
        <f>'ADO-34'!$B$5</f>
        <v>A faire</v>
      </c>
      <c r="Q27" s="806">
        <f>'ADO-34'!$B$16</f>
        <v>2020</v>
      </c>
      <c r="R27" s="807" t="str">
        <f t="shared" ref="R27:R28" si="146">IF(P27="terminé", N27,"")</f>
        <v/>
      </c>
      <c r="S27" s="287">
        <f t="shared" ref="S27:S28" si="147">IF((P27="Terminé")*AND(E27="Territoire"),N27,0)</f>
        <v>0</v>
      </c>
      <c r="T27" s="287">
        <f t="shared" ref="T27:T28" si="148">IF((P27="Terminé")*AND(E27="Agriculture"),N27,0)</f>
        <v>0</v>
      </c>
      <c r="U27" s="287">
        <f t="shared" ref="U27:U28" si="149">IF((P27="Terminé")*AND(E27="Industrie"), N27,0)</f>
        <v>0</v>
      </c>
      <c r="V27" s="287">
        <f t="shared" ref="V27:V28" si="150">IF((P27="Terminé")*AND(E27="Logement"),N27,0)</f>
        <v>0</v>
      </c>
      <c r="W27" s="287">
        <f t="shared" ref="W27:W28" si="151">IF((P27="Terminé")*AND(E27="Tertiaire"),N27,0)</f>
        <v>0</v>
      </c>
      <c r="X27" s="287">
        <f t="shared" ref="X27:X28" si="152">IF((P27="Terminé")*AND(E27="Transport"),N27,0)</f>
        <v>0</v>
      </c>
      <c r="Y27" s="287">
        <f t="shared" ref="Y27:Y28" si="153">IF((P27="Terminé")*AND(E27="Communal"),N27,0)</f>
        <v>0</v>
      </c>
      <c r="AA27" s="287">
        <f t="shared" ref="AA27:AA28" si="154">IF((P27="Terminé")*AND(E27="Territoire"),H27,0)</f>
        <v>0</v>
      </c>
      <c r="AB27" s="287">
        <f t="shared" ref="AB27:AB28" si="155">IF((P27="Terminé")*AND(E27="Agriculture"),H27,0)</f>
        <v>0</v>
      </c>
      <c r="AC27" s="287">
        <f t="shared" ref="AC27:AC28" si="156">IF((P27="Terminé")*AND(E27="Industrie"), H27,0)</f>
        <v>0</v>
      </c>
      <c r="AD27" s="287">
        <f t="shared" ref="AD27:AD28" si="157">IF((P27="Terminé")*AND(E27="Logement"), H27,0)</f>
        <v>0</v>
      </c>
      <c r="AE27" s="287">
        <f t="shared" ref="AE27:AE28" si="158">IF((P27="Terminé")*AND(E27="Tertiaire"),H27,0)</f>
        <v>0</v>
      </c>
      <c r="AF27" s="287">
        <f t="shared" ref="AF27:AF28" si="159">IF((P27="Terminé")*AND(E27="Transport"),H27,0)</f>
        <v>0</v>
      </c>
      <c r="AG27" s="287">
        <f t="shared" ref="AG27:AG28" si="160">IF((P27="Terminé")*AND(E27="Communal"),H27,0)</f>
        <v>0</v>
      </c>
      <c r="AI27" s="287">
        <f t="shared" ref="AI27:AI28" si="161">IF((P27="Terminé")*AND(E27="Territoire"),J27,0)</f>
        <v>0</v>
      </c>
      <c r="AJ27" s="287">
        <f t="shared" ref="AJ27:AJ28" si="162">IF((P27="Terminé")*AND(E27="Agriculture"),J27,0)</f>
        <v>0</v>
      </c>
      <c r="AK27" s="287">
        <f t="shared" ref="AK27:AK28" si="163">IF((P27="Terminé")*AND(E27="Industrie"), J27,0)</f>
        <v>0</v>
      </c>
      <c r="AL27" s="287">
        <f t="shared" ref="AL27:AL28" si="164">IF((P27="Terminé")*AND(E27="Logement"), J27,0)</f>
        <v>0</v>
      </c>
      <c r="AM27" s="287">
        <f t="shared" ref="AM27:AM28" si="165">IF((P27="Terminé")*AND(E27="Tertiaire"),J27,0)</f>
        <v>0</v>
      </c>
      <c r="AN27" s="287">
        <f t="shared" ref="AN27:AN28" si="166">IF((P27="Terminé")*AND(E27="Transport"),J27,0)</f>
        <v>0</v>
      </c>
      <c r="AO27" s="287">
        <f t="shared" ref="AO27:AO28" si="167">IF((P27="Terminé")*AND(E27="Communal"),J27,0)</f>
        <v>0</v>
      </c>
      <c r="AQ27" s="287">
        <f t="shared" ref="AQ27:AQ28" si="168">IF((P27="Terminé")*AND(E27="Territoire"),K27,0)</f>
        <v>0</v>
      </c>
      <c r="AR27" s="287">
        <f t="shared" ref="AR27:AR28" si="169">IF((P27="Terminé")*AND(E27="Agriculture"),K27,0)</f>
        <v>0</v>
      </c>
      <c r="AS27" s="287">
        <f t="shared" ref="AS27:AS28" si="170">IF((P27="Terminé")*AND(E27="Industrie"), K27,0)</f>
        <v>0</v>
      </c>
      <c r="AT27" s="287">
        <f t="shared" ref="AT27:AT28" si="171">IF((P27="Terminé")*AND(E27="Logement"), K27,0)</f>
        <v>0</v>
      </c>
      <c r="AU27" s="287">
        <f t="shared" ref="AU27:AU28" si="172">IF((P27="Terminé")*AND(E27="Tertiaire"),K27,0)</f>
        <v>0</v>
      </c>
      <c r="AV27" s="287">
        <f t="shared" ref="AV27:AV28" si="173">IF((P27="Terminé")*AND(E27="Transport"),K27,0)</f>
        <v>0</v>
      </c>
      <c r="AW27" s="287">
        <f t="shared" ref="AW27:AW28" si="174">IF((P27="Terminé")*AND(E27="Communal"),K27,0)</f>
        <v>0</v>
      </c>
      <c r="AY27" s="287">
        <f t="shared" ref="AY27:AY28" si="175">IF((P27="Terminé")*AND(E27="Territoire"),L27,0)</f>
        <v>0</v>
      </c>
      <c r="AZ27" s="287">
        <f t="shared" ref="AZ27:AZ28" si="176">IF((P27="Terminé")*AND(E27="Agriculture"),L27,0)</f>
        <v>0</v>
      </c>
      <c r="BA27" s="287">
        <f t="shared" ref="BA27:BA28" si="177">IF((P27="Terminé")*AND(E27="Industrie"), L27,0)</f>
        <v>0</v>
      </c>
      <c r="BB27" s="287">
        <f t="shared" ref="BB27:BB28" si="178">IF((P27="Terminé")*AND(E27="Logement"), L27,0)</f>
        <v>0</v>
      </c>
      <c r="BC27" s="287">
        <f t="shared" ref="BC27:BC28" si="179">IF((P27="Terminé")*AND(E27="Tertiaire"),L27,0)</f>
        <v>0</v>
      </c>
      <c r="BD27" s="287">
        <f t="shared" ref="BD27:BD28" si="180">IF((P27="Terminé")*AND(E27="Transport"),L27,0)</f>
        <v>0</v>
      </c>
      <c r="BE27" s="287">
        <f t="shared" ref="BE27:BE28" si="181">IF((P27="Terminé")*AND(E27="Communal"),L27,0)</f>
        <v>0</v>
      </c>
      <c r="BG27" s="287">
        <f t="shared" ref="BG27:BG28" si="182">IF((P27="Terminé")*AND(F27="Agriculture"),H27,0)</f>
        <v>0</v>
      </c>
      <c r="BH27" s="287">
        <f t="shared" ref="BH27:BH28" si="183">IF((P27="Terminé")*AND(F27="Industrie"),H27,0)</f>
        <v>0</v>
      </c>
      <c r="BI27" s="287">
        <f t="shared" ref="BI27:BI28" si="184">IF((P27="Terminé")*AND(F27="Citoyen"), H27,0)</f>
        <v>0</v>
      </c>
      <c r="BJ27" s="287">
        <f t="shared" ref="BJ27:BJ28" si="185">IF((P27="Terminé")*AND(F27="IDELUX"), H27,0)</f>
        <v>0</v>
      </c>
      <c r="BK27" s="290">
        <f t="shared" ref="BK27:BK28" si="186">IF((P27="Terminé")*AND(F27="AC MESSANCY"),H27,0)</f>
        <v>0</v>
      </c>
      <c r="BL27" s="287">
        <f t="shared" ref="BL27:BL28" si="187">IF((P27="Terminé")*AND(F27="Tertiaire"),H27,0)</f>
        <v>0</v>
      </c>
      <c r="BN27" s="287">
        <f t="shared" ref="BN27:BN28" si="188">IF((P27="Terminé")*AND(F27="Agriculture"),J27,0)</f>
        <v>0</v>
      </c>
      <c r="BO27" s="287">
        <f t="shared" ref="BO27:BO28" si="189">IF((P27="Terminé")*AND(F27="Industrie"),J27,0)</f>
        <v>0</v>
      </c>
      <c r="BP27" s="287">
        <f t="shared" ref="BP27:BP28" si="190">IF((P27="Terminé")*AND(F27="Citoyen"), J27,0)</f>
        <v>0</v>
      </c>
      <c r="BQ27" s="287">
        <f t="shared" ref="BQ27:BQ28" si="191">IF((P27="Terminé")*AND(F27="IDELUX"), J27,0)</f>
        <v>0</v>
      </c>
      <c r="BR27" s="290">
        <f t="shared" ref="BR27:BR28" si="192">IF((P27="Terminé")*AND(F27="AC MESSANCY"),J27,0)</f>
        <v>0</v>
      </c>
      <c r="BS27" s="287">
        <f t="shared" ref="BS27:BS28" si="193">IF((P27="Terminé")*AND(F27="Tertiaire"),J27,0)</f>
        <v>0</v>
      </c>
    </row>
    <row r="28" spans="1:71" s="288" customFormat="1" ht="18" customHeight="1" x14ac:dyDescent="0.25">
      <c r="A28" s="370" t="s">
        <v>990</v>
      </c>
      <c r="B28" s="370" t="str">
        <f>'ADO-35'!B$3:E$3</f>
        <v>Mobilisation</v>
      </c>
      <c r="C28" s="799" t="str">
        <f>'ADO-35'!$B$8</f>
        <v>Citoyens</v>
      </c>
      <c r="D28" s="800" t="str">
        <f>'ADO-35'!$B$9</f>
        <v>Panneaux spécifiques</v>
      </c>
      <c r="E28" s="800" t="str">
        <f>'ADO-35'!$B$4</f>
        <v>Logement</v>
      </c>
      <c r="F28" s="800" t="str">
        <f>'ADO-35'!$B$12</f>
        <v>AC MESSANCY</v>
      </c>
      <c r="G28" s="800" t="str">
        <f>'ADO-35'!$B$6</f>
        <v>Fonds propres</v>
      </c>
      <c r="H28" s="801">
        <f>'ADO-35'!$B$17</f>
        <v>5000</v>
      </c>
      <c r="I28" s="800" t="str">
        <f>'ADO-35'!$B$7</f>
        <v>Subs RW</v>
      </c>
      <c r="J28" s="801">
        <f>'ADO-35'!$B$18</f>
        <v>0</v>
      </c>
      <c r="K28" s="801">
        <f>'ADO-35'!$B$21</f>
        <v>1</v>
      </c>
      <c r="L28" s="801">
        <f>'ADO-35'!$B$22</f>
        <v>0</v>
      </c>
      <c r="M28" s="802">
        <f>'ADO-35'!$B$24</f>
        <v>5000</v>
      </c>
      <c r="N28" s="803">
        <f>'ADO-35'!$B$25</f>
        <v>0</v>
      </c>
      <c r="O28" s="804">
        <f t="shared" si="145"/>
        <v>0</v>
      </c>
      <c r="P28" s="805" t="str">
        <f>'ADO-35'!$B$5</f>
        <v>A faire</v>
      </c>
      <c r="Q28" s="806">
        <f>'ADO-35'!$B$16</f>
        <v>2025</v>
      </c>
      <c r="R28" s="807" t="str">
        <f t="shared" si="146"/>
        <v/>
      </c>
      <c r="S28" s="287">
        <f t="shared" si="147"/>
        <v>0</v>
      </c>
      <c r="T28" s="287">
        <f t="shared" si="148"/>
        <v>0</v>
      </c>
      <c r="U28" s="287">
        <f t="shared" si="149"/>
        <v>0</v>
      </c>
      <c r="V28" s="287">
        <f t="shared" si="150"/>
        <v>0</v>
      </c>
      <c r="W28" s="287">
        <f t="shared" si="151"/>
        <v>0</v>
      </c>
      <c r="X28" s="287">
        <f t="shared" si="152"/>
        <v>0</v>
      </c>
      <c r="Y28" s="287">
        <f t="shared" si="153"/>
        <v>0</v>
      </c>
      <c r="AA28" s="287">
        <f t="shared" si="154"/>
        <v>0</v>
      </c>
      <c r="AB28" s="287">
        <f t="shared" si="155"/>
        <v>0</v>
      </c>
      <c r="AC28" s="287">
        <f t="shared" si="156"/>
        <v>0</v>
      </c>
      <c r="AD28" s="287">
        <f t="shared" si="157"/>
        <v>0</v>
      </c>
      <c r="AE28" s="287">
        <f t="shared" si="158"/>
        <v>0</v>
      </c>
      <c r="AF28" s="287">
        <f t="shared" si="159"/>
        <v>0</v>
      </c>
      <c r="AG28" s="287">
        <f t="shared" si="160"/>
        <v>0</v>
      </c>
      <c r="AI28" s="287">
        <f t="shared" si="161"/>
        <v>0</v>
      </c>
      <c r="AJ28" s="287">
        <f t="shared" si="162"/>
        <v>0</v>
      </c>
      <c r="AK28" s="287">
        <f t="shared" si="163"/>
        <v>0</v>
      </c>
      <c r="AL28" s="287">
        <f t="shared" si="164"/>
        <v>0</v>
      </c>
      <c r="AM28" s="287">
        <f t="shared" si="165"/>
        <v>0</v>
      </c>
      <c r="AN28" s="287">
        <f t="shared" si="166"/>
        <v>0</v>
      </c>
      <c r="AO28" s="287">
        <f t="shared" si="167"/>
        <v>0</v>
      </c>
      <c r="AQ28" s="287">
        <f t="shared" si="168"/>
        <v>0</v>
      </c>
      <c r="AR28" s="287">
        <f t="shared" si="169"/>
        <v>0</v>
      </c>
      <c r="AS28" s="287">
        <f t="shared" si="170"/>
        <v>0</v>
      </c>
      <c r="AT28" s="287">
        <f t="shared" si="171"/>
        <v>0</v>
      </c>
      <c r="AU28" s="287">
        <f t="shared" si="172"/>
        <v>0</v>
      </c>
      <c r="AV28" s="287">
        <f t="shared" si="173"/>
        <v>0</v>
      </c>
      <c r="AW28" s="287">
        <f t="shared" si="174"/>
        <v>0</v>
      </c>
      <c r="AY28" s="287">
        <f t="shared" si="175"/>
        <v>0</v>
      </c>
      <c r="AZ28" s="287">
        <f t="shared" si="176"/>
        <v>0</v>
      </c>
      <c r="BA28" s="287">
        <f t="shared" si="177"/>
        <v>0</v>
      </c>
      <c r="BB28" s="287">
        <f t="shared" si="178"/>
        <v>0</v>
      </c>
      <c r="BC28" s="287">
        <f t="shared" si="179"/>
        <v>0</v>
      </c>
      <c r="BD28" s="287">
        <f t="shared" si="180"/>
        <v>0</v>
      </c>
      <c r="BE28" s="287">
        <f t="shared" si="181"/>
        <v>0</v>
      </c>
      <c r="BG28" s="287">
        <f t="shared" si="182"/>
        <v>0</v>
      </c>
      <c r="BH28" s="287">
        <f t="shared" si="183"/>
        <v>0</v>
      </c>
      <c r="BI28" s="287">
        <f t="shared" si="184"/>
        <v>0</v>
      </c>
      <c r="BJ28" s="287">
        <f t="shared" si="185"/>
        <v>0</v>
      </c>
      <c r="BK28" s="290">
        <f t="shared" si="186"/>
        <v>0</v>
      </c>
      <c r="BL28" s="287">
        <f t="shared" si="187"/>
        <v>0</v>
      </c>
      <c r="BN28" s="287">
        <f t="shared" si="188"/>
        <v>0</v>
      </c>
      <c r="BO28" s="287">
        <f t="shared" si="189"/>
        <v>0</v>
      </c>
      <c r="BP28" s="287">
        <f t="shared" si="190"/>
        <v>0</v>
      </c>
      <c r="BQ28" s="287">
        <f t="shared" si="191"/>
        <v>0</v>
      </c>
      <c r="BR28" s="290">
        <f t="shared" si="192"/>
        <v>0</v>
      </c>
      <c r="BS28" s="287">
        <f t="shared" si="193"/>
        <v>0</v>
      </c>
    </row>
    <row r="29" spans="1:71" s="288" customFormat="1" ht="18" customHeight="1" x14ac:dyDescent="0.25">
      <c r="A29" s="370" t="s">
        <v>1016</v>
      </c>
      <c r="B29" s="370" t="str">
        <f>'ADO-36'!B$3:E$3</f>
        <v>Mobilisation</v>
      </c>
      <c r="C29" s="799" t="str">
        <f>'ADO-36'!$B$8</f>
        <v>Citoyens</v>
      </c>
      <c r="D29" s="800" t="str">
        <f>'ADO-36'!$B$9</f>
        <v>Prêt de compteurs</v>
      </c>
      <c r="E29" s="800" t="str">
        <f>'ADO-36'!$B$4</f>
        <v>Logement</v>
      </c>
      <c r="F29" s="800" t="str">
        <f>'ADO-36'!$B$12</f>
        <v>AC MESSANCY</v>
      </c>
      <c r="G29" s="800" t="str">
        <f>'ADO-36'!$B$6</f>
        <v>Fonds propres</v>
      </c>
      <c r="H29" s="801">
        <f>'ADO-36'!$B$17</f>
        <v>1000</v>
      </c>
      <c r="I29" s="800" t="str">
        <f>'ADO-36'!$B$7</f>
        <v>Subs RW</v>
      </c>
      <c r="J29" s="801">
        <f>'ADO-36'!$B$18</f>
        <v>0</v>
      </c>
      <c r="K29" s="801">
        <f>'ADO-36'!$B$21</f>
        <v>1</v>
      </c>
      <c r="L29" s="801">
        <f>'ADO-36'!$B$22</f>
        <v>0</v>
      </c>
      <c r="M29" s="802">
        <f>'ADO-36'!$B$24</f>
        <v>1000</v>
      </c>
      <c r="N29" s="803">
        <f>'ADO-36'!$B$25</f>
        <v>0</v>
      </c>
      <c r="O29" s="804">
        <f t="shared" ref="O29:O30" si="194">IF(H29=0,0,N29/(H29-J29)*1000)</f>
        <v>0</v>
      </c>
      <c r="P29" s="805" t="str">
        <f>'ADO-36'!$B$5</f>
        <v>A faire</v>
      </c>
      <c r="Q29" s="806">
        <f>'ADO-36'!$B$16</f>
        <v>2030</v>
      </c>
      <c r="R29" s="807" t="str">
        <f t="shared" ref="R29:R30" si="195">IF(P29="terminé", N29,"")</f>
        <v/>
      </c>
      <c r="S29" s="287">
        <f t="shared" ref="S29:S30" si="196">IF((P29="Terminé")*AND(E29="Territoire"),N29,0)</f>
        <v>0</v>
      </c>
      <c r="T29" s="287">
        <f t="shared" ref="T29:T30" si="197">IF((P29="Terminé")*AND(E29="Agriculture"),N29,0)</f>
        <v>0</v>
      </c>
      <c r="U29" s="287">
        <f t="shared" ref="U29:U30" si="198">IF((P29="Terminé")*AND(E29="Industrie"), N29,0)</f>
        <v>0</v>
      </c>
      <c r="V29" s="287">
        <f t="shared" ref="V29:V30" si="199">IF((P29="Terminé")*AND(E29="Logement"),N29,0)</f>
        <v>0</v>
      </c>
      <c r="W29" s="287">
        <f t="shared" ref="W29:W30" si="200">IF((P29="Terminé")*AND(E29="Tertiaire"),N29,0)</f>
        <v>0</v>
      </c>
      <c r="X29" s="287">
        <f t="shared" ref="X29:X30" si="201">IF((P29="Terminé")*AND(E29="Transport"),N29,0)</f>
        <v>0</v>
      </c>
      <c r="Y29" s="287">
        <f t="shared" ref="Y29:Y30" si="202">IF((P29="Terminé")*AND(E29="Communal"),N29,0)</f>
        <v>0</v>
      </c>
      <c r="AA29" s="287">
        <f t="shared" ref="AA29:AA30" si="203">IF((P29="Terminé")*AND(E29="Territoire"),H29,0)</f>
        <v>0</v>
      </c>
      <c r="AB29" s="287">
        <f t="shared" ref="AB29:AB30" si="204">IF((P29="Terminé")*AND(E29="Agriculture"),H29,0)</f>
        <v>0</v>
      </c>
      <c r="AC29" s="287">
        <f t="shared" ref="AC29:AC30" si="205">IF((P29="Terminé")*AND(E29="Industrie"), H29,0)</f>
        <v>0</v>
      </c>
      <c r="AD29" s="287">
        <f t="shared" ref="AD29:AD30" si="206">IF((P29="Terminé")*AND(E29="Logement"), H29,0)</f>
        <v>0</v>
      </c>
      <c r="AE29" s="287">
        <f t="shared" ref="AE29:AE30" si="207">IF((P29="Terminé")*AND(E29="Tertiaire"),H29,0)</f>
        <v>0</v>
      </c>
      <c r="AF29" s="287">
        <f t="shared" ref="AF29:AF30" si="208">IF((P29="Terminé")*AND(E29="Transport"),H29,0)</f>
        <v>0</v>
      </c>
      <c r="AG29" s="287">
        <f t="shared" ref="AG29:AG30" si="209">IF((P29="Terminé")*AND(E29="Communal"),H29,0)</f>
        <v>0</v>
      </c>
      <c r="AI29" s="287">
        <f t="shared" ref="AI29:AI30" si="210">IF((P29="Terminé")*AND(E29="Territoire"),J29,0)</f>
        <v>0</v>
      </c>
      <c r="AJ29" s="287">
        <f t="shared" ref="AJ29:AJ30" si="211">IF((P29="Terminé")*AND(E29="Agriculture"),J29,0)</f>
        <v>0</v>
      </c>
      <c r="AK29" s="287">
        <f t="shared" ref="AK29:AK30" si="212">IF((P29="Terminé")*AND(E29="Industrie"), J29,0)</f>
        <v>0</v>
      </c>
      <c r="AL29" s="287">
        <f t="shared" ref="AL29:AL30" si="213">IF((P29="Terminé")*AND(E29="Logement"), J29,0)</f>
        <v>0</v>
      </c>
      <c r="AM29" s="287">
        <f t="shared" ref="AM29:AM30" si="214">IF((P29="Terminé")*AND(E29="Tertiaire"),J29,0)</f>
        <v>0</v>
      </c>
      <c r="AN29" s="287">
        <f t="shared" ref="AN29:AN30" si="215">IF((P29="Terminé")*AND(E29="Transport"),J29,0)</f>
        <v>0</v>
      </c>
      <c r="AO29" s="287">
        <f t="shared" ref="AO29:AO30" si="216">IF((P29="Terminé")*AND(E29="Communal"),J29,0)</f>
        <v>0</v>
      </c>
      <c r="AQ29" s="287">
        <f t="shared" ref="AQ29:AQ30" si="217">IF((P29="Terminé")*AND(E29="Territoire"),K29,0)</f>
        <v>0</v>
      </c>
      <c r="AR29" s="287">
        <f t="shared" ref="AR29:AR30" si="218">IF((P29="Terminé")*AND(E29="Agriculture"),K29,0)</f>
        <v>0</v>
      </c>
      <c r="AS29" s="287">
        <f t="shared" ref="AS29:AS30" si="219">IF((P29="Terminé")*AND(E29="Industrie"), K29,0)</f>
        <v>0</v>
      </c>
      <c r="AT29" s="287">
        <f t="shared" ref="AT29:AT30" si="220">IF((P29="Terminé")*AND(E29="Logement"), K29,0)</f>
        <v>0</v>
      </c>
      <c r="AU29" s="287">
        <f t="shared" ref="AU29:AU30" si="221">IF((P29="Terminé")*AND(E29="Tertiaire"),K29,0)</f>
        <v>0</v>
      </c>
      <c r="AV29" s="287">
        <f t="shared" ref="AV29:AV30" si="222">IF((P29="Terminé")*AND(E29="Transport"),K29,0)</f>
        <v>0</v>
      </c>
      <c r="AW29" s="287">
        <f t="shared" ref="AW29:AW30" si="223">IF((P29="Terminé")*AND(E29="Communal"),K29,0)</f>
        <v>0</v>
      </c>
      <c r="AY29" s="287">
        <f t="shared" ref="AY29:AY30" si="224">IF((P29="Terminé")*AND(E29="Territoire"),L29,0)</f>
        <v>0</v>
      </c>
      <c r="AZ29" s="287">
        <f t="shared" ref="AZ29:AZ30" si="225">IF((P29="Terminé")*AND(E29="Agriculture"),L29,0)</f>
        <v>0</v>
      </c>
      <c r="BA29" s="287">
        <f t="shared" ref="BA29:BA30" si="226">IF((P29="Terminé")*AND(E29="Industrie"), L29,0)</f>
        <v>0</v>
      </c>
      <c r="BB29" s="287">
        <f t="shared" ref="BB29:BB30" si="227">IF((P29="Terminé")*AND(E29="Logement"), L29,0)</f>
        <v>0</v>
      </c>
      <c r="BC29" s="287">
        <f t="shared" ref="BC29:BC30" si="228">IF((P29="Terminé")*AND(E29="Tertiaire"),L29,0)</f>
        <v>0</v>
      </c>
      <c r="BD29" s="287">
        <f t="shared" ref="BD29:BD30" si="229">IF((P29="Terminé")*AND(E29="Transport"),L29,0)</f>
        <v>0</v>
      </c>
      <c r="BE29" s="287">
        <f t="shared" ref="BE29:BE30" si="230">IF((P29="Terminé")*AND(E29="Communal"),L29,0)</f>
        <v>0</v>
      </c>
      <c r="BG29" s="287">
        <f t="shared" ref="BG29:BG30" si="231">IF((P29="Terminé")*AND(F29="Agriculture"),H29,0)</f>
        <v>0</v>
      </c>
      <c r="BH29" s="287">
        <f t="shared" ref="BH29:BH30" si="232">IF((P29="Terminé")*AND(F29="Industrie"),H29,0)</f>
        <v>0</v>
      </c>
      <c r="BI29" s="287">
        <f t="shared" ref="BI29:BI30" si="233">IF((P29="Terminé")*AND(F29="Citoyen"), H29,0)</f>
        <v>0</v>
      </c>
      <c r="BJ29" s="287">
        <f t="shared" ref="BJ29:BJ30" si="234">IF((P29="Terminé")*AND(F29="IDELUX"), H29,0)</f>
        <v>0</v>
      </c>
      <c r="BK29" s="290">
        <f t="shared" ref="BK29:BK30" si="235">IF((P29="Terminé")*AND(F29="AC MESSANCY"),H29,0)</f>
        <v>0</v>
      </c>
      <c r="BL29" s="287">
        <f t="shared" ref="BL29:BL30" si="236">IF((P29="Terminé")*AND(F29="Tertiaire"),H29,0)</f>
        <v>0</v>
      </c>
      <c r="BN29" s="287">
        <f t="shared" ref="BN29:BN30" si="237">IF((P29="Terminé")*AND(F29="Agriculture"),J29,0)</f>
        <v>0</v>
      </c>
      <c r="BO29" s="287">
        <f t="shared" ref="BO29:BO30" si="238">IF((P29="Terminé")*AND(F29="Industrie"),J29,0)</f>
        <v>0</v>
      </c>
      <c r="BP29" s="287">
        <f t="shared" ref="BP29:BP30" si="239">IF((P29="Terminé")*AND(F29="Citoyen"), J29,0)</f>
        <v>0</v>
      </c>
      <c r="BQ29" s="287">
        <f t="shared" ref="BQ29:BQ30" si="240">IF((P29="Terminé")*AND(F29="IDELUX"), J29,0)</f>
        <v>0</v>
      </c>
      <c r="BR29" s="290">
        <f t="shared" ref="BR29:BR30" si="241">IF((P29="Terminé")*AND(F29="AC MESSANCY"),J29,0)</f>
        <v>0</v>
      </c>
      <c r="BS29" s="287">
        <f t="shared" ref="BS29:BS30" si="242">IF((P29="Terminé")*AND(F29="Tertiaire"),J29,0)</f>
        <v>0</v>
      </c>
    </row>
    <row r="30" spans="1:71" s="288" customFormat="1" ht="18" customHeight="1" x14ac:dyDescent="0.25">
      <c r="A30" s="370" t="s">
        <v>1022</v>
      </c>
      <c r="B30" s="370" t="str">
        <f>'ADO-39'!B$3:E$3</f>
        <v>Mobilisation</v>
      </c>
      <c r="C30" s="799" t="str">
        <f>'ADO-39'!$B$8</f>
        <v>Citoyens</v>
      </c>
      <c r="D30" s="800" t="str">
        <f>'ADO-39'!$B$9</f>
        <v>Objectif 0 déchet-0 pesticide</v>
      </c>
      <c r="E30" s="800" t="str">
        <f>'ADO-39'!$B$4</f>
        <v>Logement</v>
      </c>
      <c r="F30" s="800" t="str">
        <f>'ADO-39'!$B$12</f>
        <v>AC MESSANCY</v>
      </c>
      <c r="G30" s="800" t="str">
        <f>'ADO-39'!$B$6</f>
        <v>Fonds propres</v>
      </c>
      <c r="H30" s="801">
        <f>'ADO-39'!$B$17</f>
        <v>5000</v>
      </c>
      <c r="I30" s="800" t="str">
        <f>'ADO-39'!$B$7</f>
        <v>Subs RW</v>
      </c>
      <c r="J30" s="801">
        <f>'ADO-39'!$B$18</f>
        <v>0</v>
      </c>
      <c r="K30" s="801">
        <f>'ADO-39'!$B$21</f>
        <v>1</v>
      </c>
      <c r="L30" s="801">
        <f>'ADO-39'!$B$22</f>
        <v>0</v>
      </c>
      <c r="M30" s="802">
        <f>'ADO-39'!$B$24</f>
        <v>5000</v>
      </c>
      <c r="N30" s="803">
        <f>'ADO-39'!$B$25</f>
        <v>0</v>
      </c>
      <c r="O30" s="804">
        <f t="shared" si="194"/>
        <v>0</v>
      </c>
      <c r="P30" s="805" t="str">
        <f>'ADO-39'!$B$5</f>
        <v>A faire</v>
      </c>
      <c r="Q30" s="806">
        <f>'ADO-39'!$B$16</f>
        <v>2022</v>
      </c>
      <c r="R30" s="807" t="str">
        <f t="shared" si="195"/>
        <v/>
      </c>
      <c r="S30" s="287">
        <f t="shared" si="196"/>
        <v>0</v>
      </c>
      <c r="T30" s="287">
        <f t="shared" si="197"/>
        <v>0</v>
      </c>
      <c r="U30" s="287">
        <f t="shared" si="198"/>
        <v>0</v>
      </c>
      <c r="V30" s="287">
        <f t="shared" si="199"/>
        <v>0</v>
      </c>
      <c r="W30" s="287">
        <f t="shared" si="200"/>
        <v>0</v>
      </c>
      <c r="X30" s="287">
        <f t="shared" si="201"/>
        <v>0</v>
      </c>
      <c r="Y30" s="287">
        <f t="shared" si="202"/>
        <v>0</v>
      </c>
      <c r="AA30" s="287">
        <f t="shared" si="203"/>
        <v>0</v>
      </c>
      <c r="AB30" s="287">
        <f t="shared" si="204"/>
        <v>0</v>
      </c>
      <c r="AC30" s="287">
        <f t="shared" si="205"/>
        <v>0</v>
      </c>
      <c r="AD30" s="287">
        <f t="shared" si="206"/>
        <v>0</v>
      </c>
      <c r="AE30" s="287">
        <f t="shared" si="207"/>
        <v>0</v>
      </c>
      <c r="AF30" s="287">
        <f t="shared" si="208"/>
        <v>0</v>
      </c>
      <c r="AG30" s="287">
        <f t="shared" si="209"/>
        <v>0</v>
      </c>
      <c r="AI30" s="287">
        <f t="shared" si="210"/>
        <v>0</v>
      </c>
      <c r="AJ30" s="287">
        <f t="shared" si="211"/>
        <v>0</v>
      </c>
      <c r="AK30" s="287">
        <f t="shared" si="212"/>
        <v>0</v>
      </c>
      <c r="AL30" s="287">
        <f t="shared" si="213"/>
        <v>0</v>
      </c>
      <c r="AM30" s="287">
        <f t="shared" si="214"/>
        <v>0</v>
      </c>
      <c r="AN30" s="287">
        <f t="shared" si="215"/>
        <v>0</v>
      </c>
      <c r="AO30" s="287">
        <f t="shared" si="216"/>
        <v>0</v>
      </c>
      <c r="AQ30" s="287">
        <f t="shared" si="217"/>
        <v>0</v>
      </c>
      <c r="AR30" s="287">
        <f t="shared" si="218"/>
        <v>0</v>
      </c>
      <c r="AS30" s="287">
        <f t="shared" si="219"/>
        <v>0</v>
      </c>
      <c r="AT30" s="287">
        <f t="shared" si="220"/>
        <v>0</v>
      </c>
      <c r="AU30" s="287">
        <f t="shared" si="221"/>
        <v>0</v>
      </c>
      <c r="AV30" s="287">
        <f t="shared" si="222"/>
        <v>0</v>
      </c>
      <c r="AW30" s="287">
        <f t="shared" si="223"/>
        <v>0</v>
      </c>
      <c r="AY30" s="287">
        <f t="shared" si="224"/>
        <v>0</v>
      </c>
      <c r="AZ30" s="287">
        <f t="shared" si="225"/>
        <v>0</v>
      </c>
      <c r="BA30" s="287">
        <f t="shared" si="226"/>
        <v>0</v>
      </c>
      <c r="BB30" s="287">
        <f t="shared" si="227"/>
        <v>0</v>
      </c>
      <c r="BC30" s="287">
        <f t="shared" si="228"/>
        <v>0</v>
      </c>
      <c r="BD30" s="287">
        <f t="shared" si="229"/>
        <v>0</v>
      </c>
      <c r="BE30" s="287">
        <f t="shared" si="230"/>
        <v>0</v>
      </c>
      <c r="BG30" s="287">
        <f t="shared" si="231"/>
        <v>0</v>
      </c>
      <c r="BH30" s="287">
        <f t="shared" si="232"/>
        <v>0</v>
      </c>
      <c r="BI30" s="287">
        <f t="shared" si="233"/>
        <v>0</v>
      </c>
      <c r="BJ30" s="287">
        <f t="shared" si="234"/>
        <v>0</v>
      </c>
      <c r="BK30" s="290">
        <f t="shared" si="235"/>
        <v>0</v>
      </c>
      <c r="BL30" s="287">
        <f t="shared" si="236"/>
        <v>0</v>
      </c>
      <c r="BN30" s="287">
        <f t="shared" si="237"/>
        <v>0</v>
      </c>
      <c r="BO30" s="287">
        <f t="shared" si="238"/>
        <v>0</v>
      </c>
      <c r="BP30" s="287">
        <f t="shared" si="239"/>
        <v>0</v>
      </c>
      <c r="BQ30" s="287">
        <f t="shared" si="240"/>
        <v>0</v>
      </c>
      <c r="BR30" s="290">
        <f t="shared" si="241"/>
        <v>0</v>
      </c>
      <c r="BS30" s="287">
        <f t="shared" si="242"/>
        <v>0</v>
      </c>
    </row>
    <row r="31" spans="1:71" s="288" customFormat="1" ht="18" customHeight="1" x14ac:dyDescent="0.25">
      <c r="A31" s="370" t="s">
        <v>779</v>
      </c>
      <c r="B31" s="370" t="str">
        <f>'ADO-40'!B$3:E$3</f>
        <v>Formation</v>
      </c>
      <c r="C31" s="799" t="str">
        <f>'ADO-40'!$B$8</f>
        <v>Tous publics</v>
      </c>
      <c r="D31" s="800" t="str">
        <f>'ADO-40'!$B$9</f>
        <v>Formation à l'isolation</v>
      </c>
      <c r="E31" s="800" t="str">
        <f>'ADO-40'!$B$4</f>
        <v>Territoire</v>
      </c>
      <c r="F31" s="800" t="str">
        <f>'ADO-40'!$B$12</f>
        <v>AC MESSANCY</v>
      </c>
      <c r="G31" s="800" t="str">
        <f>'ADO-40'!$B$6</f>
        <v>Fonds propres</v>
      </c>
      <c r="H31" s="801">
        <f>'ADO-40'!$B$17</f>
        <v>2000</v>
      </c>
      <c r="I31" s="800" t="str">
        <f>'ADO-40'!$B$7</f>
        <v>Néant</v>
      </c>
      <c r="J31" s="801">
        <f>'ADO-40'!$B$18</f>
        <v>0</v>
      </c>
      <c r="K31" s="801">
        <f>'ADO-40'!$B$21</f>
        <v>1</v>
      </c>
      <c r="L31" s="801">
        <f>'ADO-40'!$B$22</f>
        <v>0</v>
      </c>
      <c r="M31" s="802">
        <f>'ADO-40'!$B$24</f>
        <v>2000</v>
      </c>
      <c r="N31" s="803">
        <f>'ADO-40'!$B$25</f>
        <v>0</v>
      </c>
      <c r="O31" s="804">
        <f t="shared" si="143"/>
        <v>0</v>
      </c>
      <c r="P31" s="805" t="str">
        <f>'ADO-40'!$B$5</f>
        <v>A faire</v>
      </c>
      <c r="Q31" s="806">
        <f>'ADO-40'!$B$16</f>
        <v>2022</v>
      </c>
      <c r="R31" s="807" t="str">
        <f t="shared" si="144"/>
        <v/>
      </c>
      <c r="S31" s="287">
        <f t="shared" si="49"/>
        <v>0</v>
      </c>
      <c r="T31" s="287">
        <f t="shared" si="50"/>
        <v>0</v>
      </c>
      <c r="U31" s="287">
        <f t="shared" si="51"/>
        <v>0</v>
      </c>
      <c r="V31" s="287">
        <f t="shared" si="52"/>
        <v>0</v>
      </c>
      <c r="W31" s="287">
        <f t="shared" si="53"/>
        <v>0</v>
      </c>
      <c r="X31" s="287">
        <f t="shared" si="54"/>
        <v>0</v>
      </c>
      <c r="Y31" s="287">
        <f t="shared" si="55"/>
        <v>0</v>
      </c>
      <c r="AA31" s="287">
        <f t="shared" si="56"/>
        <v>0</v>
      </c>
      <c r="AB31" s="287">
        <f t="shared" si="57"/>
        <v>0</v>
      </c>
      <c r="AC31" s="287">
        <f t="shared" si="58"/>
        <v>0</v>
      </c>
      <c r="AD31" s="287">
        <f t="shared" si="59"/>
        <v>0</v>
      </c>
      <c r="AE31" s="287">
        <f t="shared" si="60"/>
        <v>0</v>
      </c>
      <c r="AF31" s="287">
        <f t="shared" si="61"/>
        <v>0</v>
      </c>
      <c r="AG31" s="287">
        <f t="shared" si="62"/>
        <v>0</v>
      </c>
      <c r="AI31" s="287">
        <f t="shared" si="63"/>
        <v>0</v>
      </c>
      <c r="AJ31" s="287">
        <f t="shared" si="64"/>
        <v>0</v>
      </c>
      <c r="AK31" s="287">
        <f t="shared" si="65"/>
        <v>0</v>
      </c>
      <c r="AL31" s="287">
        <f t="shared" si="66"/>
        <v>0</v>
      </c>
      <c r="AM31" s="287">
        <f t="shared" si="67"/>
        <v>0</v>
      </c>
      <c r="AN31" s="287">
        <f t="shared" si="68"/>
        <v>0</v>
      </c>
      <c r="AO31" s="287">
        <f t="shared" si="69"/>
        <v>0</v>
      </c>
      <c r="AQ31" s="287">
        <f t="shared" si="70"/>
        <v>0</v>
      </c>
      <c r="AR31" s="287">
        <f t="shared" si="71"/>
        <v>0</v>
      </c>
      <c r="AS31" s="287">
        <f t="shared" si="72"/>
        <v>0</v>
      </c>
      <c r="AT31" s="287">
        <f t="shared" si="73"/>
        <v>0</v>
      </c>
      <c r="AU31" s="287">
        <f t="shared" si="74"/>
        <v>0</v>
      </c>
      <c r="AV31" s="287">
        <f t="shared" si="75"/>
        <v>0</v>
      </c>
      <c r="AW31" s="287">
        <f t="shared" si="76"/>
        <v>0</v>
      </c>
      <c r="AY31" s="287">
        <f t="shared" si="77"/>
        <v>0</v>
      </c>
      <c r="AZ31" s="287">
        <f t="shared" si="78"/>
        <v>0</v>
      </c>
      <c r="BA31" s="287">
        <f t="shared" si="79"/>
        <v>0</v>
      </c>
      <c r="BB31" s="287">
        <f t="shared" si="80"/>
        <v>0</v>
      </c>
      <c r="BC31" s="287">
        <f t="shared" si="81"/>
        <v>0</v>
      </c>
      <c r="BD31" s="287">
        <f t="shared" si="82"/>
        <v>0</v>
      </c>
      <c r="BE31" s="287">
        <f t="shared" si="83"/>
        <v>0</v>
      </c>
      <c r="BG31" s="287">
        <f t="shared" si="84"/>
        <v>0</v>
      </c>
      <c r="BH31" s="287">
        <f t="shared" si="85"/>
        <v>0</v>
      </c>
      <c r="BI31" s="287">
        <f t="shared" si="86"/>
        <v>0</v>
      </c>
      <c r="BJ31" s="287">
        <f t="shared" si="87"/>
        <v>0</v>
      </c>
      <c r="BK31" s="290">
        <f t="shared" si="41"/>
        <v>0</v>
      </c>
      <c r="BL31" s="287">
        <f t="shared" si="88"/>
        <v>0</v>
      </c>
      <c r="BN31" s="287">
        <f t="shared" si="89"/>
        <v>0</v>
      </c>
      <c r="BO31" s="287">
        <f t="shared" si="90"/>
        <v>0</v>
      </c>
      <c r="BP31" s="287">
        <f t="shared" si="91"/>
        <v>0</v>
      </c>
      <c r="BQ31" s="287">
        <f t="shared" si="92"/>
        <v>0</v>
      </c>
      <c r="BR31" s="290">
        <f t="shared" si="47"/>
        <v>0</v>
      </c>
      <c r="BS31" s="287">
        <f t="shared" si="93"/>
        <v>0</v>
      </c>
    </row>
    <row r="32" spans="1:71" s="288" customFormat="1" ht="18" customHeight="1" x14ac:dyDescent="0.25">
      <c r="A32" s="370" t="s">
        <v>780</v>
      </c>
      <c r="B32" s="370" t="str">
        <f>'ADO-41'!B$3:E$3</f>
        <v>Formation</v>
      </c>
      <c r="C32" s="799" t="str">
        <f>'ADO-41'!$B$8</f>
        <v>Employés communaux</v>
      </c>
      <c r="D32" s="800" t="str">
        <f>'ADO-41'!$B$9</f>
        <v>Formation Eco Guide - Energie</v>
      </c>
      <c r="E32" s="800" t="str">
        <f>'ADO-41'!$B$4</f>
        <v>Territoire</v>
      </c>
      <c r="F32" s="800" t="str">
        <f>'ADO-41'!$B$12</f>
        <v>AC MESSANCY</v>
      </c>
      <c r="G32" s="800" t="str">
        <f>'ADO-41'!$B$6</f>
        <v>Fonds propres</v>
      </c>
      <c r="H32" s="801">
        <f>'ADO-41'!$B$17</f>
        <v>2000</v>
      </c>
      <c r="I32" s="800" t="str">
        <f>'ADO-41'!$B$7</f>
        <v>Néant</v>
      </c>
      <c r="J32" s="801">
        <f>'ADO-41'!$B$18</f>
        <v>0</v>
      </c>
      <c r="K32" s="801">
        <f>'ADO-41'!$B$21</f>
        <v>1</v>
      </c>
      <c r="L32" s="801">
        <f>'ADO-41'!$B$22</f>
        <v>0</v>
      </c>
      <c r="M32" s="802">
        <f>'ADO-41'!$B$24</f>
        <v>2000</v>
      </c>
      <c r="N32" s="803">
        <f>'ADO-41'!$B$25</f>
        <v>0</v>
      </c>
      <c r="O32" s="804">
        <f t="shared" si="143"/>
        <v>0</v>
      </c>
      <c r="P32" s="805" t="str">
        <f>'ADO-41'!$B$5</f>
        <v>A faire</v>
      </c>
      <c r="Q32" s="806">
        <f>'ADO-41'!$B$16</f>
        <v>2022</v>
      </c>
      <c r="R32" s="807" t="str">
        <f t="shared" si="144"/>
        <v/>
      </c>
      <c r="S32" s="287">
        <f t="shared" si="49"/>
        <v>0</v>
      </c>
      <c r="T32" s="287">
        <f t="shared" si="50"/>
        <v>0</v>
      </c>
      <c r="U32" s="287">
        <f t="shared" si="51"/>
        <v>0</v>
      </c>
      <c r="V32" s="287">
        <f t="shared" si="52"/>
        <v>0</v>
      </c>
      <c r="W32" s="287">
        <f t="shared" si="53"/>
        <v>0</v>
      </c>
      <c r="X32" s="287">
        <f t="shared" si="54"/>
        <v>0</v>
      </c>
      <c r="Y32" s="287">
        <f t="shared" si="55"/>
        <v>0</v>
      </c>
      <c r="AA32" s="287">
        <f t="shared" si="56"/>
        <v>0</v>
      </c>
      <c r="AB32" s="287">
        <f t="shared" si="57"/>
        <v>0</v>
      </c>
      <c r="AC32" s="287">
        <f t="shared" si="58"/>
        <v>0</v>
      </c>
      <c r="AD32" s="287">
        <f t="shared" si="59"/>
        <v>0</v>
      </c>
      <c r="AE32" s="287">
        <f t="shared" si="60"/>
        <v>0</v>
      </c>
      <c r="AF32" s="287">
        <f t="shared" si="61"/>
        <v>0</v>
      </c>
      <c r="AG32" s="287">
        <f t="shared" si="62"/>
        <v>0</v>
      </c>
      <c r="AI32" s="287">
        <f t="shared" si="63"/>
        <v>0</v>
      </c>
      <c r="AJ32" s="287">
        <f t="shared" si="64"/>
        <v>0</v>
      </c>
      <c r="AK32" s="287">
        <f t="shared" si="65"/>
        <v>0</v>
      </c>
      <c r="AL32" s="287">
        <f t="shared" si="66"/>
        <v>0</v>
      </c>
      <c r="AM32" s="287">
        <f t="shared" si="67"/>
        <v>0</v>
      </c>
      <c r="AN32" s="287">
        <f t="shared" si="68"/>
        <v>0</v>
      </c>
      <c r="AO32" s="287">
        <f t="shared" si="69"/>
        <v>0</v>
      </c>
      <c r="AQ32" s="287">
        <f t="shared" si="70"/>
        <v>0</v>
      </c>
      <c r="AR32" s="287">
        <f t="shared" si="71"/>
        <v>0</v>
      </c>
      <c r="AS32" s="287">
        <f t="shared" si="72"/>
        <v>0</v>
      </c>
      <c r="AT32" s="287">
        <f t="shared" si="73"/>
        <v>0</v>
      </c>
      <c r="AU32" s="287">
        <f t="shared" si="74"/>
        <v>0</v>
      </c>
      <c r="AV32" s="287">
        <f t="shared" si="75"/>
        <v>0</v>
      </c>
      <c r="AW32" s="287">
        <f t="shared" si="76"/>
        <v>0</v>
      </c>
      <c r="AY32" s="287">
        <f t="shared" si="77"/>
        <v>0</v>
      </c>
      <c r="AZ32" s="287">
        <f t="shared" si="78"/>
        <v>0</v>
      </c>
      <c r="BA32" s="287">
        <f t="shared" si="79"/>
        <v>0</v>
      </c>
      <c r="BB32" s="287">
        <f t="shared" si="80"/>
        <v>0</v>
      </c>
      <c r="BC32" s="287">
        <f t="shared" si="81"/>
        <v>0</v>
      </c>
      <c r="BD32" s="287">
        <f t="shared" si="82"/>
        <v>0</v>
      </c>
      <c r="BE32" s="287">
        <f t="shared" si="83"/>
        <v>0</v>
      </c>
      <c r="BG32" s="287">
        <f t="shared" si="84"/>
        <v>0</v>
      </c>
      <c r="BH32" s="287">
        <f t="shared" si="85"/>
        <v>0</v>
      </c>
      <c r="BI32" s="287">
        <f t="shared" si="86"/>
        <v>0</v>
      </c>
      <c r="BJ32" s="287">
        <f t="shared" si="87"/>
        <v>0</v>
      </c>
      <c r="BK32" s="290">
        <f t="shared" si="41"/>
        <v>0</v>
      </c>
      <c r="BL32" s="287">
        <f t="shared" si="88"/>
        <v>0</v>
      </c>
      <c r="BN32" s="287">
        <f t="shared" si="89"/>
        <v>0</v>
      </c>
      <c r="BO32" s="287">
        <f t="shared" si="90"/>
        <v>0</v>
      </c>
      <c r="BP32" s="287">
        <f t="shared" si="91"/>
        <v>0</v>
      </c>
      <c r="BQ32" s="287">
        <f t="shared" si="92"/>
        <v>0</v>
      </c>
      <c r="BR32" s="290">
        <f t="shared" si="47"/>
        <v>0</v>
      </c>
      <c r="BS32" s="287">
        <f t="shared" si="93"/>
        <v>0</v>
      </c>
    </row>
    <row r="33" spans="1:85" s="924" customFormat="1" ht="18" customHeight="1" x14ac:dyDescent="0.25">
      <c r="A33" s="913" t="s">
        <v>70</v>
      </c>
      <c r="B33" s="913" t="str">
        <f>'ADU-1'!B$3:E$3</f>
        <v>Performance énergétique</v>
      </c>
      <c r="C33" s="914" t="str">
        <f>'ADU-1'!$B$8</f>
        <v>Performance énergétique</v>
      </c>
      <c r="D33" s="915" t="str">
        <f>'ADU-1'!$B$9</f>
        <v>Economies d'énergie 2006-2014</v>
      </c>
      <c r="E33" s="915" t="str">
        <f>'ADU-1'!$B$4</f>
        <v>Logement</v>
      </c>
      <c r="F33" s="915" t="str">
        <f>'ADU-1'!$B$12</f>
        <v>Citoyen</v>
      </c>
      <c r="G33" s="915" t="str">
        <f>'ADU-1'!$B$6</f>
        <v>Prêt bancaire</v>
      </c>
      <c r="H33" s="916">
        <f>'ADU-1'!$B$17</f>
        <v>10076442.909465952</v>
      </c>
      <c r="I33" s="915" t="str">
        <f>'ADU-1'!$B$7</f>
        <v>Primes RW</v>
      </c>
      <c r="J33" s="916">
        <f>'ADU-1'!$B$18</f>
        <v>1007644.2909465953</v>
      </c>
      <c r="K33" s="916">
        <f>'ADU-1'!$B$21</f>
        <v>11282167.633347645</v>
      </c>
      <c r="L33" s="916">
        <f>'ADU-1'!$B$22</f>
        <v>0</v>
      </c>
      <c r="M33" s="917">
        <f>'ADU-1'!$B$24</f>
        <v>0.8038170423663934</v>
      </c>
      <c r="N33" s="918">
        <f>'ADU-1'!$B$25</f>
        <v>4020.3266151134812</v>
      </c>
      <c r="O33" s="919">
        <f t="shared" si="143"/>
        <v>0.44331413500610639</v>
      </c>
      <c r="P33" s="920" t="str">
        <f>'ADU-1'!$B$5</f>
        <v>Terminé</v>
      </c>
      <c r="Q33" s="921">
        <f>'ADU-1'!$B$16</f>
        <v>2014</v>
      </c>
      <c r="R33" s="922">
        <f t="shared" si="144"/>
        <v>4020.3266151134812</v>
      </c>
      <c r="S33" s="923">
        <f t="shared" si="49"/>
        <v>0</v>
      </c>
      <c r="T33" s="923">
        <f t="shared" si="50"/>
        <v>0</v>
      </c>
      <c r="U33" s="923">
        <f t="shared" si="51"/>
        <v>0</v>
      </c>
      <c r="V33" s="923">
        <f t="shared" si="52"/>
        <v>4020.3266151134812</v>
      </c>
      <c r="W33" s="923">
        <f t="shared" si="53"/>
        <v>0</v>
      </c>
      <c r="X33" s="923">
        <f t="shared" si="54"/>
        <v>0</v>
      </c>
      <c r="Y33" s="923">
        <f t="shared" si="55"/>
        <v>0</v>
      </c>
      <c r="AA33" s="923">
        <f t="shared" si="56"/>
        <v>0</v>
      </c>
      <c r="AB33" s="923">
        <f t="shared" si="57"/>
        <v>0</v>
      </c>
      <c r="AC33" s="923">
        <f t="shared" si="58"/>
        <v>0</v>
      </c>
      <c r="AD33" s="923">
        <f t="shared" si="59"/>
        <v>10076442.909465952</v>
      </c>
      <c r="AE33" s="923">
        <f t="shared" si="60"/>
        <v>0</v>
      </c>
      <c r="AF33" s="923">
        <f t="shared" si="61"/>
        <v>0</v>
      </c>
      <c r="AG33" s="923">
        <f t="shared" si="62"/>
        <v>0</v>
      </c>
      <c r="AI33" s="923">
        <f t="shared" si="63"/>
        <v>0</v>
      </c>
      <c r="AJ33" s="923">
        <f t="shared" si="64"/>
        <v>0</v>
      </c>
      <c r="AK33" s="923">
        <f t="shared" si="65"/>
        <v>0</v>
      </c>
      <c r="AL33" s="923">
        <f t="shared" si="66"/>
        <v>1007644.2909465953</v>
      </c>
      <c r="AM33" s="923">
        <f t="shared" si="67"/>
        <v>0</v>
      </c>
      <c r="AN33" s="923">
        <f t="shared" si="68"/>
        <v>0</v>
      </c>
      <c r="AO33" s="923">
        <f t="shared" si="69"/>
        <v>0</v>
      </c>
      <c r="AQ33" s="923">
        <f t="shared" si="70"/>
        <v>0</v>
      </c>
      <c r="AR33" s="923">
        <f t="shared" si="71"/>
        <v>0</v>
      </c>
      <c r="AS33" s="923">
        <f t="shared" si="72"/>
        <v>0</v>
      </c>
      <c r="AT33" s="923">
        <f t="shared" si="73"/>
        <v>11282167.633347645</v>
      </c>
      <c r="AU33" s="923">
        <f t="shared" si="74"/>
        <v>0</v>
      </c>
      <c r="AV33" s="923">
        <f t="shared" si="75"/>
        <v>0</v>
      </c>
      <c r="AW33" s="923">
        <f t="shared" si="76"/>
        <v>0</v>
      </c>
      <c r="AY33" s="923">
        <f t="shared" si="77"/>
        <v>0</v>
      </c>
      <c r="AZ33" s="923">
        <f t="shared" si="78"/>
        <v>0</v>
      </c>
      <c r="BA33" s="923">
        <f t="shared" si="79"/>
        <v>0</v>
      </c>
      <c r="BB33" s="923">
        <f t="shared" si="80"/>
        <v>0</v>
      </c>
      <c r="BC33" s="923">
        <f t="shared" si="81"/>
        <v>0</v>
      </c>
      <c r="BD33" s="923">
        <f t="shared" si="82"/>
        <v>0</v>
      </c>
      <c r="BE33" s="923">
        <f t="shared" si="83"/>
        <v>0</v>
      </c>
      <c r="BG33" s="923">
        <f t="shared" si="84"/>
        <v>0</v>
      </c>
      <c r="BH33" s="923">
        <f t="shared" si="85"/>
        <v>0</v>
      </c>
      <c r="BI33" s="923">
        <f t="shared" si="86"/>
        <v>10076442.909465952</v>
      </c>
      <c r="BJ33" s="923">
        <f t="shared" si="87"/>
        <v>0</v>
      </c>
      <c r="BK33" s="925">
        <f t="shared" si="41"/>
        <v>0</v>
      </c>
      <c r="BL33" s="923">
        <f t="shared" si="88"/>
        <v>0</v>
      </c>
      <c r="BN33" s="923">
        <f t="shared" si="89"/>
        <v>0</v>
      </c>
      <c r="BO33" s="923">
        <f t="shared" si="90"/>
        <v>0</v>
      </c>
      <c r="BP33" s="923">
        <f t="shared" si="91"/>
        <v>1007644.2909465953</v>
      </c>
      <c r="BQ33" s="923">
        <f t="shared" si="92"/>
        <v>0</v>
      </c>
      <c r="BR33" s="925">
        <f t="shared" si="47"/>
        <v>0</v>
      </c>
      <c r="BS33" s="923">
        <f t="shared" si="93"/>
        <v>0</v>
      </c>
    </row>
    <row r="34" spans="1:85" s="819" customFormat="1" ht="18" customHeight="1" x14ac:dyDescent="0.25">
      <c r="A34" s="808" t="s">
        <v>71</v>
      </c>
      <c r="B34" s="808" t="str">
        <f>'ADU-2'!B$3:E$3</f>
        <v>Performance énergétique</v>
      </c>
      <c r="C34" s="809" t="str">
        <f>'ADU-2'!$B$8</f>
        <v>Performance énergétique</v>
      </c>
      <c r="D34" s="810" t="str">
        <f>'ADU-2'!$B$9</f>
        <v>Economies d'énergie 2006-2014</v>
      </c>
      <c r="E34" s="810" t="str">
        <f>'ADU-2'!$B$4</f>
        <v>Transport</v>
      </c>
      <c r="F34" s="810" t="str">
        <f>'ADU-2'!$B$12</f>
        <v>citoyen</v>
      </c>
      <c r="G34" s="810" t="str">
        <f>'ADU-2'!$B$6</f>
        <v>Prêt bancaire</v>
      </c>
      <c r="H34" s="811">
        <f>'ADU-2'!$B$17</f>
        <v>708964.38703444938</v>
      </c>
      <c r="I34" s="810" t="str">
        <f>'ADU-2'!$B$7</f>
        <v>Primes RW</v>
      </c>
      <c r="J34" s="811">
        <f>'ADU-2'!$B$18</f>
        <v>70896.438703444946</v>
      </c>
      <c r="K34" s="811">
        <f>'ADU-2'!$B$21</f>
        <v>889289.87229741097</v>
      </c>
      <c r="L34" s="811">
        <f>'ADU-2'!$B$22</f>
        <v>0</v>
      </c>
      <c r="M34" s="812">
        <f>'ADU-2'!$B$24</f>
        <v>0.7175027718269249</v>
      </c>
      <c r="N34" s="813">
        <f>'ADU-2'!$B$25</f>
        <v>270.29108511335653</v>
      </c>
      <c r="O34" s="814">
        <f>IF(H34=0,0,N34/(H34-J34)*1000)</f>
        <v>0.42360862322007775</v>
      </c>
      <c r="P34" s="815" t="str">
        <f>'ADU-2'!$B$5</f>
        <v>Terminé</v>
      </c>
      <c r="Q34" s="816">
        <f>'ADU-2'!$B$16</f>
        <v>2014</v>
      </c>
      <c r="R34" s="817">
        <f>IF(P34="terminé", N34,"")</f>
        <v>270.29108511335653</v>
      </c>
      <c r="S34" s="818">
        <f t="shared" si="49"/>
        <v>0</v>
      </c>
      <c r="T34" s="818">
        <f t="shared" si="50"/>
        <v>0</v>
      </c>
      <c r="U34" s="818">
        <f t="shared" si="51"/>
        <v>0</v>
      </c>
      <c r="V34" s="818">
        <f t="shared" si="52"/>
        <v>0</v>
      </c>
      <c r="W34" s="818">
        <f t="shared" si="53"/>
        <v>0</v>
      </c>
      <c r="X34" s="818">
        <f t="shared" si="54"/>
        <v>270.29108511335653</v>
      </c>
      <c r="Y34" s="818">
        <f t="shared" si="55"/>
        <v>0</v>
      </c>
      <c r="AA34" s="818">
        <f t="shared" si="56"/>
        <v>0</v>
      </c>
      <c r="AB34" s="818">
        <f t="shared" si="57"/>
        <v>0</v>
      </c>
      <c r="AC34" s="818">
        <f t="shared" si="58"/>
        <v>0</v>
      </c>
      <c r="AD34" s="818">
        <f t="shared" si="59"/>
        <v>0</v>
      </c>
      <c r="AE34" s="818">
        <f t="shared" si="60"/>
        <v>0</v>
      </c>
      <c r="AF34" s="818">
        <f t="shared" si="61"/>
        <v>708964.38703444938</v>
      </c>
      <c r="AG34" s="818">
        <f t="shared" si="62"/>
        <v>0</v>
      </c>
      <c r="AI34" s="818">
        <f t="shared" si="63"/>
        <v>0</v>
      </c>
      <c r="AJ34" s="818">
        <f t="shared" si="64"/>
        <v>0</v>
      </c>
      <c r="AK34" s="818">
        <f t="shared" si="65"/>
        <v>0</v>
      </c>
      <c r="AL34" s="818">
        <f t="shared" si="66"/>
        <v>0</v>
      </c>
      <c r="AM34" s="818">
        <f t="shared" si="67"/>
        <v>0</v>
      </c>
      <c r="AN34" s="818">
        <f t="shared" si="68"/>
        <v>70896.438703444946</v>
      </c>
      <c r="AO34" s="818">
        <f t="shared" si="69"/>
        <v>0</v>
      </c>
      <c r="AQ34" s="818">
        <f t="shared" si="70"/>
        <v>0</v>
      </c>
      <c r="AR34" s="818">
        <f t="shared" si="71"/>
        <v>0</v>
      </c>
      <c r="AS34" s="818">
        <f t="shared" si="72"/>
        <v>0</v>
      </c>
      <c r="AT34" s="818">
        <f t="shared" si="73"/>
        <v>0</v>
      </c>
      <c r="AU34" s="818">
        <f t="shared" si="74"/>
        <v>0</v>
      </c>
      <c r="AV34" s="818">
        <f t="shared" si="75"/>
        <v>889289.87229741097</v>
      </c>
      <c r="AW34" s="818">
        <f t="shared" si="76"/>
        <v>0</v>
      </c>
      <c r="AY34" s="818">
        <f t="shared" si="77"/>
        <v>0</v>
      </c>
      <c r="AZ34" s="818">
        <f t="shared" si="78"/>
        <v>0</v>
      </c>
      <c r="BA34" s="818">
        <f t="shared" si="79"/>
        <v>0</v>
      </c>
      <c r="BB34" s="818">
        <f t="shared" si="80"/>
        <v>0</v>
      </c>
      <c r="BC34" s="818">
        <f t="shared" si="81"/>
        <v>0</v>
      </c>
      <c r="BD34" s="818">
        <f t="shared" si="82"/>
        <v>0</v>
      </c>
      <c r="BE34" s="818">
        <f t="shared" si="83"/>
        <v>0</v>
      </c>
      <c r="BG34" s="818">
        <f t="shared" si="84"/>
        <v>0</v>
      </c>
      <c r="BH34" s="818">
        <f t="shared" si="85"/>
        <v>0</v>
      </c>
      <c r="BI34" s="818">
        <f t="shared" si="86"/>
        <v>708964.38703444938</v>
      </c>
      <c r="BJ34" s="818">
        <f t="shared" si="87"/>
        <v>0</v>
      </c>
      <c r="BK34" s="820">
        <f t="shared" si="41"/>
        <v>0</v>
      </c>
      <c r="BL34" s="818">
        <f t="shared" si="88"/>
        <v>0</v>
      </c>
      <c r="BN34" s="818">
        <f t="shared" si="89"/>
        <v>0</v>
      </c>
      <c r="BO34" s="818">
        <f t="shared" si="90"/>
        <v>0</v>
      </c>
      <c r="BP34" s="818">
        <f t="shared" si="91"/>
        <v>70896.438703444946</v>
      </c>
      <c r="BQ34" s="818">
        <f t="shared" si="92"/>
        <v>0</v>
      </c>
      <c r="BR34" s="820">
        <f t="shared" si="47"/>
        <v>0</v>
      </c>
      <c r="BS34" s="818">
        <f t="shared" si="93"/>
        <v>0</v>
      </c>
    </row>
    <row r="35" spans="1:85" s="832" customFormat="1" ht="18" customHeight="1" x14ac:dyDescent="0.25">
      <c r="A35" s="821" t="s">
        <v>72</v>
      </c>
      <c r="B35" s="821" t="str">
        <f>'ADU-3'!B$3:E$3</f>
        <v>Performance énergétique</v>
      </c>
      <c r="C35" s="822" t="str">
        <f>'ADU-3'!$B$8</f>
        <v>Performance énergétique</v>
      </c>
      <c r="D35" s="823" t="str">
        <f>'ADU-3'!$B$9</f>
        <v>Economies d'énergie 2006-2014</v>
      </c>
      <c r="E35" s="823" t="str">
        <f>'ADU-3'!$B$4</f>
        <v>Industrie</v>
      </c>
      <c r="F35" s="823" t="str">
        <f>'ADU-3'!$B$12</f>
        <v>Industrie</v>
      </c>
      <c r="G35" s="823" t="str">
        <f>'ADU-3'!$B$6</f>
        <v>Prêt bancaire</v>
      </c>
      <c r="H35" s="824">
        <f>'ADU-3'!$B$17</f>
        <v>8810312.6817332674</v>
      </c>
      <c r="I35" s="823" t="str">
        <f>'ADU-3'!$B$7</f>
        <v>Primes RW</v>
      </c>
      <c r="J35" s="824">
        <f>'ADU-3'!$B$18</f>
        <v>881031.26817332674</v>
      </c>
      <c r="K35" s="824">
        <f>'ADU-3'!$B$21</f>
        <v>3577993.904112637</v>
      </c>
      <c r="L35" s="824">
        <f>'ADU-3'!$B$22</f>
        <v>0</v>
      </c>
      <c r="M35" s="825">
        <f>'ADU-3'!$B$24</f>
        <v>2.2161249085544341</v>
      </c>
      <c r="N35" s="826">
        <f>'ADU-3'!$B$25</f>
        <v>3073.8093019976477</v>
      </c>
      <c r="O35" s="827">
        <f t="shared" ref="O35:O55" si="243">IF(H35=0,0,N35/(H35-J35)*1000)</f>
        <v>0.3876529462986516</v>
      </c>
      <c r="P35" s="828" t="str">
        <f>'ADU-3'!$B$5</f>
        <v>Terminé</v>
      </c>
      <c r="Q35" s="829">
        <f>'ADU-3'!$B$16</f>
        <v>2014</v>
      </c>
      <c r="R35" s="830">
        <f>IF(P35="terminé", N35,"")</f>
        <v>3073.8093019976477</v>
      </c>
      <c r="S35" s="831">
        <f t="shared" si="49"/>
        <v>0</v>
      </c>
      <c r="T35" s="831">
        <f t="shared" si="50"/>
        <v>0</v>
      </c>
      <c r="U35" s="831">
        <f t="shared" si="51"/>
        <v>3073.8093019976477</v>
      </c>
      <c r="V35" s="831">
        <f t="shared" si="52"/>
        <v>0</v>
      </c>
      <c r="W35" s="831">
        <f t="shared" si="53"/>
        <v>0</v>
      </c>
      <c r="X35" s="831">
        <f t="shared" si="54"/>
        <v>0</v>
      </c>
      <c r="Y35" s="831">
        <f t="shared" si="55"/>
        <v>0</v>
      </c>
      <c r="AA35" s="831">
        <f t="shared" si="56"/>
        <v>0</v>
      </c>
      <c r="AB35" s="831">
        <f t="shared" si="57"/>
        <v>0</v>
      </c>
      <c r="AC35" s="831">
        <f t="shared" si="58"/>
        <v>8810312.6817332674</v>
      </c>
      <c r="AD35" s="831">
        <f t="shared" si="59"/>
        <v>0</v>
      </c>
      <c r="AE35" s="831">
        <f t="shared" si="60"/>
        <v>0</v>
      </c>
      <c r="AF35" s="831">
        <f t="shared" si="61"/>
        <v>0</v>
      </c>
      <c r="AG35" s="831">
        <f t="shared" si="62"/>
        <v>0</v>
      </c>
      <c r="AI35" s="831">
        <f t="shared" si="63"/>
        <v>0</v>
      </c>
      <c r="AJ35" s="831">
        <f t="shared" si="64"/>
        <v>0</v>
      </c>
      <c r="AK35" s="831">
        <f t="shared" si="65"/>
        <v>881031.26817332674</v>
      </c>
      <c r="AL35" s="831">
        <f t="shared" si="66"/>
        <v>0</v>
      </c>
      <c r="AM35" s="831">
        <f t="shared" si="67"/>
        <v>0</v>
      </c>
      <c r="AN35" s="831">
        <f t="shared" si="68"/>
        <v>0</v>
      </c>
      <c r="AO35" s="831">
        <f t="shared" si="69"/>
        <v>0</v>
      </c>
      <c r="AQ35" s="831">
        <f t="shared" si="70"/>
        <v>0</v>
      </c>
      <c r="AR35" s="831">
        <f t="shared" si="71"/>
        <v>0</v>
      </c>
      <c r="AS35" s="831">
        <f t="shared" si="72"/>
        <v>3577993.904112637</v>
      </c>
      <c r="AT35" s="831">
        <f t="shared" si="73"/>
        <v>0</v>
      </c>
      <c r="AU35" s="831">
        <f t="shared" si="74"/>
        <v>0</v>
      </c>
      <c r="AV35" s="831">
        <f t="shared" si="75"/>
        <v>0</v>
      </c>
      <c r="AW35" s="831">
        <f t="shared" si="76"/>
        <v>0</v>
      </c>
      <c r="AY35" s="831">
        <f t="shared" si="77"/>
        <v>0</v>
      </c>
      <c r="AZ35" s="831">
        <f t="shared" si="78"/>
        <v>0</v>
      </c>
      <c r="BA35" s="831">
        <f t="shared" si="79"/>
        <v>0</v>
      </c>
      <c r="BB35" s="831">
        <f t="shared" si="80"/>
        <v>0</v>
      </c>
      <c r="BC35" s="831">
        <f t="shared" si="81"/>
        <v>0</v>
      </c>
      <c r="BD35" s="831">
        <f t="shared" si="82"/>
        <v>0</v>
      </c>
      <c r="BE35" s="831">
        <f t="shared" si="83"/>
        <v>0</v>
      </c>
      <c r="BG35" s="831">
        <f t="shared" si="84"/>
        <v>0</v>
      </c>
      <c r="BH35" s="831">
        <f t="shared" si="85"/>
        <v>8810312.6817332674</v>
      </c>
      <c r="BI35" s="831">
        <f t="shared" si="86"/>
        <v>0</v>
      </c>
      <c r="BJ35" s="831">
        <f t="shared" si="87"/>
        <v>0</v>
      </c>
      <c r="BK35" s="833">
        <f t="shared" si="41"/>
        <v>0</v>
      </c>
      <c r="BL35" s="831">
        <f t="shared" si="88"/>
        <v>0</v>
      </c>
      <c r="BN35" s="831">
        <f t="shared" si="89"/>
        <v>0</v>
      </c>
      <c r="BO35" s="831">
        <f t="shared" si="90"/>
        <v>881031.26817332674</v>
      </c>
      <c r="BP35" s="831">
        <f t="shared" si="91"/>
        <v>0</v>
      </c>
      <c r="BQ35" s="831">
        <f t="shared" si="92"/>
        <v>0</v>
      </c>
      <c r="BR35" s="833">
        <f t="shared" si="47"/>
        <v>0</v>
      </c>
      <c r="BS35" s="831">
        <f t="shared" si="93"/>
        <v>0</v>
      </c>
    </row>
    <row r="36" spans="1:85" s="858" customFormat="1" ht="18" customHeight="1" x14ac:dyDescent="0.25">
      <c r="A36" s="847" t="s">
        <v>759</v>
      </c>
      <c r="B36" s="847" t="str">
        <f>'ADU-4'!B$3:E$3</f>
        <v>Performance énergétique</v>
      </c>
      <c r="C36" s="848">
        <f>'ADU-4'!$B$8</f>
        <v>0</v>
      </c>
      <c r="D36" s="849">
        <f>'ADU-4'!$B$9</f>
        <v>0</v>
      </c>
      <c r="E36" s="849" t="str">
        <f>'ADU-4'!$B$4</f>
        <v>Tertiaire</v>
      </c>
      <c r="F36" s="849">
        <f>'ADU-4'!$B$12</f>
        <v>0</v>
      </c>
      <c r="G36" s="849" t="str">
        <f>'ADU-4'!$B$6</f>
        <v>Fonds propres</v>
      </c>
      <c r="H36" s="850">
        <f>'ADU-4'!$B$17</f>
        <v>0</v>
      </c>
      <c r="I36" s="849" t="str">
        <f>'ADU-4'!$B$7</f>
        <v>Subs RW</v>
      </c>
      <c r="J36" s="850">
        <f>'ADU-4'!$B$18</f>
        <v>0</v>
      </c>
      <c r="K36" s="850">
        <f>'ADU-4'!$B$21</f>
        <v>0</v>
      </c>
      <c r="L36" s="850">
        <f>'ADU-4'!$B$22</f>
        <v>0</v>
      </c>
      <c r="M36" s="851" t="e">
        <f>'ADU-4'!$B$24</f>
        <v>#DIV/0!</v>
      </c>
      <c r="N36" s="852">
        <f>'ADU-4'!$B$25</f>
        <v>0</v>
      </c>
      <c r="O36" s="853">
        <f t="shared" si="243"/>
        <v>0</v>
      </c>
      <c r="P36" s="854" t="str">
        <f>'ADU-4'!$B$5</f>
        <v>Ne pas réaliser</v>
      </c>
      <c r="Q36" s="855">
        <f>'ADU-4'!$B$16</f>
        <v>0</v>
      </c>
      <c r="R36" s="856" t="str">
        <f>IF(P36="terminé", N36,"")</f>
        <v/>
      </c>
      <c r="S36" s="857">
        <f t="shared" si="49"/>
        <v>0</v>
      </c>
      <c r="T36" s="857">
        <f t="shared" si="50"/>
        <v>0</v>
      </c>
      <c r="U36" s="857">
        <f t="shared" si="51"/>
        <v>0</v>
      </c>
      <c r="V36" s="857">
        <f t="shared" si="52"/>
        <v>0</v>
      </c>
      <c r="W36" s="857">
        <f t="shared" si="53"/>
        <v>0</v>
      </c>
      <c r="X36" s="857">
        <f t="shared" si="54"/>
        <v>0</v>
      </c>
      <c r="Y36" s="857">
        <f t="shared" si="55"/>
        <v>0</v>
      </c>
      <c r="AA36" s="857">
        <f t="shared" si="56"/>
        <v>0</v>
      </c>
      <c r="AB36" s="857">
        <f t="shared" si="57"/>
        <v>0</v>
      </c>
      <c r="AC36" s="857">
        <f t="shared" si="58"/>
        <v>0</v>
      </c>
      <c r="AD36" s="857">
        <f t="shared" si="59"/>
        <v>0</v>
      </c>
      <c r="AE36" s="857">
        <f t="shared" si="60"/>
        <v>0</v>
      </c>
      <c r="AF36" s="857">
        <f t="shared" si="61"/>
        <v>0</v>
      </c>
      <c r="AG36" s="857">
        <f t="shared" si="62"/>
        <v>0</v>
      </c>
      <c r="AI36" s="857">
        <f t="shared" si="63"/>
        <v>0</v>
      </c>
      <c r="AJ36" s="857">
        <f t="shared" si="64"/>
        <v>0</v>
      </c>
      <c r="AK36" s="857">
        <f t="shared" si="65"/>
        <v>0</v>
      </c>
      <c r="AL36" s="857">
        <f t="shared" si="66"/>
        <v>0</v>
      </c>
      <c r="AM36" s="857">
        <f t="shared" si="67"/>
        <v>0</v>
      </c>
      <c r="AN36" s="857">
        <f t="shared" si="68"/>
        <v>0</v>
      </c>
      <c r="AO36" s="857">
        <f t="shared" si="69"/>
        <v>0</v>
      </c>
      <c r="AQ36" s="857">
        <f t="shared" si="70"/>
        <v>0</v>
      </c>
      <c r="AR36" s="857">
        <f t="shared" si="71"/>
        <v>0</v>
      </c>
      <c r="AS36" s="857">
        <f t="shared" si="72"/>
        <v>0</v>
      </c>
      <c r="AT36" s="857">
        <f t="shared" si="73"/>
        <v>0</v>
      </c>
      <c r="AU36" s="857">
        <f t="shared" si="74"/>
        <v>0</v>
      </c>
      <c r="AV36" s="857">
        <f t="shared" si="75"/>
        <v>0</v>
      </c>
      <c r="AW36" s="857">
        <f t="shared" si="76"/>
        <v>0</v>
      </c>
      <c r="AY36" s="857">
        <f t="shared" si="77"/>
        <v>0</v>
      </c>
      <c r="AZ36" s="857">
        <f t="shared" si="78"/>
        <v>0</v>
      </c>
      <c r="BA36" s="857">
        <f t="shared" si="79"/>
        <v>0</v>
      </c>
      <c r="BB36" s="857">
        <f t="shared" si="80"/>
        <v>0</v>
      </c>
      <c r="BC36" s="857">
        <f t="shared" si="81"/>
        <v>0</v>
      </c>
      <c r="BD36" s="857">
        <f t="shared" si="82"/>
        <v>0</v>
      </c>
      <c r="BE36" s="857">
        <f t="shared" si="83"/>
        <v>0</v>
      </c>
      <c r="BG36" s="857">
        <f t="shared" si="84"/>
        <v>0</v>
      </c>
      <c r="BH36" s="857">
        <f t="shared" si="85"/>
        <v>0</v>
      </c>
      <c r="BI36" s="857">
        <f t="shared" si="86"/>
        <v>0</v>
      </c>
      <c r="BJ36" s="857">
        <f t="shared" si="87"/>
        <v>0</v>
      </c>
      <c r="BK36" s="859">
        <f t="shared" si="41"/>
        <v>0</v>
      </c>
      <c r="BL36" s="857">
        <f t="shared" si="88"/>
        <v>0</v>
      </c>
      <c r="BN36" s="857">
        <f t="shared" si="89"/>
        <v>0</v>
      </c>
      <c r="BO36" s="857">
        <f t="shared" si="90"/>
        <v>0</v>
      </c>
      <c r="BP36" s="857">
        <f t="shared" si="91"/>
        <v>0</v>
      </c>
      <c r="BQ36" s="857">
        <f t="shared" si="92"/>
        <v>0</v>
      </c>
      <c r="BR36" s="859">
        <f t="shared" si="47"/>
        <v>0</v>
      </c>
      <c r="BS36" s="857">
        <f t="shared" si="93"/>
        <v>0</v>
      </c>
    </row>
    <row r="37" spans="1:85" s="288" customFormat="1" ht="18" customHeight="1" x14ac:dyDescent="0.25">
      <c r="A37" s="370" t="s">
        <v>73</v>
      </c>
      <c r="B37" s="370" t="str">
        <f>'ADU-5'!B$3:E$3</f>
        <v>Performance énergétique</v>
      </c>
      <c r="C37" s="799" t="str">
        <f>'ADU-5'!$B$8</f>
        <v>Performance énergétique</v>
      </c>
      <c r="D37" s="800" t="str">
        <f>'ADU-5'!$B$9</f>
        <v>Travaux économiseurs d'énergie - Chauffage</v>
      </c>
      <c r="E37" s="800" t="str">
        <f>'ADU-5'!$B$4</f>
        <v>Communal</v>
      </c>
      <c r="F37" s="800" t="str">
        <f>'ADU-5'!$B$12</f>
        <v>AC MESSANCY</v>
      </c>
      <c r="G37" s="800" t="str">
        <f>'ADU-5'!$B$6</f>
        <v>Fonds propres</v>
      </c>
      <c r="H37" s="801">
        <f>'ADU-5'!$B$17</f>
        <v>632557.66999999993</v>
      </c>
      <c r="I37" s="800" t="str">
        <f>'ADU-4'!$B$7</f>
        <v>Subs RW</v>
      </c>
      <c r="J37" s="801">
        <f>'ADU-5'!$B$18</f>
        <v>476548.5</v>
      </c>
      <c r="K37" s="801">
        <f>'ADU-5'!$B$21</f>
        <v>16253</v>
      </c>
      <c r="L37" s="801">
        <f>'ADU-5'!$B$22</f>
        <v>0</v>
      </c>
      <c r="M37" s="802">
        <f>'ADU-5'!$B$24</f>
        <v>9.5987922229742164</v>
      </c>
      <c r="N37" s="803">
        <f>'ADU-5'!$B$25</f>
        <v>54.488182500000001</v>
      </c>
      <c r="O37" s="804">
        <f t="shared" si="243"/>
        <v>0.34926269077644623</v>
      </c>
      <c r="P37" s="805" t="str">
        <f>'ADU-5'!$B$5</f>
        <v>Terminé</v>
      </c>
      <c r="Q37" s="806">
        <f>'ADU-5'!$B$16</f>
        <v>2017</v>
      </c>
      <c r="R37" s="807">
        <f>IF(P37="terminé", N37,"")</f>
        <v>54.488182500000001</v>
      </c>
      <c r="S37" s="287">
        <f t="shared" si="49"/>
        <v>0</v>
      </c>
      <c r="T37" s="287">
        <f t="shared" si="50"/>
        <v>0</v>
      </c>
      <c r="U37" s="287">
        <f t="shared" si="51"/>
        <v>0</v>
      </c>
      <c r="V37" s="287">
        <f t="shared" si="52"/>
        <v>0</v>
      </c>
      <c r="W37" s="287">
        <f t="shared" si="53"/>
        <v>0</v>
      </c>
      <c r="X37" s="287">
        <f t="shared" si="54"/>
        <v>0</v>
      </c>
      <c r="Y37" s="287">
        <f t="shared" si="55"/>
        <v>54.488182500000001</v>
      </c>
      <c r="AA37" s="287">
        <f t="shared" si="56"/>
        <v>0</v>
      </c>
      <c r="AB37" s="287">
        <f t="shared" si="57"/>
        <v>0</v>
      </c>
      <c r="AC37" s="287">
        <f t="shared" si="58"/>
        <v>0</v>
      </c>
      <c r="AD37" s="287">
        <f t="shared" si="59"/>
        <v>0</v>
      </c>
      <c r="AE37" s="287">
        <f t="shared" si="60"/>
        <v>0</v>
      </c>
      <c r="AF37" s="287">
        <f t="shared" si="61"/>
        <v>0</v>
      </c>
      <c r="AG37" s="287">
        <f t="shared" si="62"/>
        <v>632557.66999999993</v>
      </c>
      <c r="AI37" s="287">
        <f t="shared" si="63"/>
        <v>0</v>
      </c>
      <c r="AJ37" s="287">
        <f t="shared" si="64"/>
        <v>0</v>
      </c>
      <c r="AK37" s="287">
        <f t="shared" si="65"/>
        <v>0</v>
      </c>
      <c r="AL37" s="287">
        <f t="shared" si="66"/>
        <v>0</v>
      </c>
      <c r="AM37" s="287">
        <f t="shared" si="67"/>
        <v>0</v>
      </c>
      <c r="AN37" s="287">
        <f t="shared" si="68"/>
        <v>0</v>
      </c>
      <c r="AO37" s="287">
        <f t="shared" si="69"/>
        <v>476548.5</v>
      </c>
      <c r="AQ37" s="287">
        <f t="shared" si="70"/>
        <v>0</v>
      </c>
      <c r="AR37" s="287">
        <f t="shared" si="71"/>
        <v>0</v>
      </c>
      <c r="AS37" s="287">
        <f t="shared" si="72"/>
        <v>0</v>
      </c>
      <c r="AT37" s="287">
        <f t="shared" si="73"/>
        <v>0</v>
      </c>
      <c r="AU37" s="287">
        <f t="shared" si="74"/>
        <v>0</v>
      </c>
      <c r="AV37" s="287">
        <f t="shared" si="75"/>
        <v>0</v>
      </c>
      <c r="AW37" s="287">
        <f t="shared" si="76"/>
        <v>16253</v>
      </c>
      <c r="AY37" s="287">
        <f t="shared" si="77"/>
        <v>0</v>
      </c>
      <c r="AZ37" s="287">
        <f t="shared" si="78"/>
        <v>0</v>
      </c>
      <c r="BA37" s="287">
        <f t="shared" si="79"/>
        <v>0</v>
      </c>
      <c r="BB37" s="287">
        <f t="shared" si="80"/>
        <v>0</v>
      </c>
      <c r="BC37" s="287">
        <f t="shared" si="81"/>
        <v>0</v>
      </c>
      <c r="BD37" s="287">
        <f t="shared" si="82"/>
        <v>0</v>
      </c>
      <c r="BE37" s="287">
        <f t="shared" si="83"/>
        <v>0</v>
      </c>
      <c r="BG37" s="287">
        <f t="shared" si="84"/>
        <v>0</v>
      </c>
      <c r="BH37" s="287">
        <f t="shared" si="85"/>
        <v>0</v>
      </c>
      <c r="BI37" s="287">
        <f t="shared" si="86"/>
        <v>0</v>
      </c>
      <c r="BJ37" s="287">
        <f t="shared" si="87"/>
        <v>0</v>
      </c>
      <c r="BK37" s="290">
        <f t="shared" si="41"/>
        <v>632557.66999999993</v>
      </c>
      <c r="BL37" s="287">
        <f t="shared" si="88"/>
        <v>0</v>
      </c>
      <c r="BN37" s="287">
        <f t="shared" si="89"/>
        <v>0</v>
      </c>
      <c r="BO37" s="287">
        <f t="shared" si="90"/>
        <v>0</v>
      </c>
      <c r="BP37" s="287">
        <f t="shared" si="91"/>
        <v>0</v>
      </c>
      <c r="BQ37" s="287">
        <f t="shared" si="92"/>
        <v>0</v>
      </c>
      <c r="BR37" s="290">
        <f t="shared" si="47"/>
        <v>476548.5</v>
      </c>
      <c r="BS37" s="287">
        <f t="shared" si="93"/>
        <v>0</v>
      </c>
    </row>
    <row r="38" spans="1:85" s="845" customFormat="1" ht="18" customHeight="1" x14ac:dyDescent="0.25">
      <c r="A38" s="834" t="s">
        <v>74</v>
      </c>
      <c r="B38" s="834" t="str">
        <f>'ADU-6'!B$3:E$3</f>
        <v>Performance énergétique</v>
      </c>
      <c r="C38" s="835">
        <f>'ADU-6'!$B$8</f>
        <v>0</v>
      </c>
      <c r="D38" s="836">
        <f>'ADU-6'!$B$9</f>
        <v>0</v>
      </c>
      <c r="E38" s="836" t="str">
        <f>'ADU-6'!$B$4</f>
        <v>Communal</v>
      </c>
      <c r="F38" s="836">
        <f>'ADU-6'!$B$12</f>
        <v>0</v>
      </c>
      <c r="G38" s="836" t="str">
        <f>'ADU-6'!$B$6</f>
        <v>Néant</v>
      </c>
      <c r="H38" s="837">
        <f>'ADU-6'!$B$17</f>
        <v>0</v>
      </c>
      <c r="I38" s="836" t="str">
        <f>'ADU-6'!$B$7</f>
        <v>Néant</v>
      </c>
      <c r="J38" s="837">
        <f>'ADU-6'!$B$18</f>
        <v>0</v>
      </c>
      <c r="K38" s="837">
        <f>'ADU-6'!$B$21</f>
        <v>0</v>
      </c>
      <c r="L38" s="837">
        <f>'ADU-6'!$B$22</f>
        <v>0</v>
      </c>
      <c r="M38" s="838" t="e">
        <f>'ADU-6'!$B$24</f>
        <v>#DIV/0!</v>
      </c>
      <c r="N38" s="839">
        <f>'ADU-6'!$B$25</f>
        <v>0</v>
      </c>
      <c r="O38" s="840">
        <f t="shared" si="243"/>
        <v>0</v>
      </c>
      <c r="P38" s="841" t="str">
        <f>'ADU-6'!$B$5</f>
        <v>Ne pas réaliser</v>
      </c>
      <c r="Q38" s="842">
        <f>'ADU-6'!$B$16</f>
        <v>0</v>
      </c>
      <c r="R38" s="843" t="str">
        <f t="shared" ref="R38:R70" si="244">IF(P38="terminé", N38,"")</f>
        <v/>
      </c>
      <c r="S38" s="844">
        <f t="shared" si="49"/>
        <v>0</v>
      </c>
      <c r="T38" s="844">
        <f t="shared" si="50"/>
        <v>0</v>
      </c>
      <c r="U38" s="844">
        <f t="shared" si="51"/>
        <v>0</v>
      </c>
      <c r="V38" s="844">
        <f t="shared" si="52"/>
        <v>0</v>
      </c>
      <c r="W38" s="844">
        <f t="shared" si="53"/>
        <v>0</v>
      </c>
      <c r="X38" s="844">
        <f t="shared" si="54"/>
        <v>0</v>
      </c>
      <c r="Y38" s="844">
        <f t="shared" si="55"/>
        <v>0</v>
      </c>
      <c r="AA38" s="844">
        <f t="shared" si="56"/>
        <v>0</v>
      </c>
      <c r="AB38" s="844">
        <f t="shared" si="57"/>
        <v>0</v>
      </c>
      <c r="AC38" s="844">
        <f t="shared" si="58"/>
        <v>0</v>
      </c>
      <c r="AD38" s="844">
        <f t="shared" si="59"/>
        <v>0</v>
      </c>
      <c r="AE38" s="844">
        <f t="shared" si="60"/>
        <v>0</v>
      </c>
      <c r="AF38" s="844">
        <f t="shared" si="61"/>
        <v>0</v>
      </c>
      <c r="AG38" s="844">
        <f t="shared" si="62"/>
        <v>0</v>
      </c>
      <c r="AI38" s="844">
        <f t="shared" si="63"/>
        <v>0</v>
      </c>
      <c r="AJ38" s="844">
        <f t="shared" si="64"/>
        <v>0</v>
      </c>
      <c r="AK38" s="844">
        <f t="shared" si="65"/>
        <v>0</v>
      </c>
      <c r="AL38" s="844">
        <f t="shared" si="66"/>
        <v>0</v>
      </c>
      <c r="AM38" s="844">
        <f t="shared" si="67"/>
        <v>0</v>
      </c>
      <c r="AN38" s="844">
        <f t="shared" si="68"/>
        <v>0</v>
      </c>
      <c r="AO38" s="844">
        <f t="shared" si="69"/>
        <v>0</v>
      </c>
      <c r="AQ38" s="844">
        <f t="shared" si="70"/>
        <v>0</v>
      </c>
      <c r="AR38" s="844">
        <f t="shared" si="71"/>
        <v>0</v>
      </c>
      <c r="AS38" s="844">
        <f t="shared" si="72"/>
        <v>0</v>
      </c>
      <c r="AT38" s="844">
        <f t="shared" si="73"/>
        <v>0</v>
      </c>
      <c r="AU38" s="844">
        <f t="shared" si="74"/>
        <v>0</v>
      </c>
      <c r="AV38" s="844">
        <f t="shared" si="75"/>
        <v>0</v>
      </c>
      <c r="AW38" s="844">
        <f t="shared" si="76"/>
        <v>0</v>
      </c>
      <c r="AY38" s="844">
        <f t="shared" si="77"/>
        <v>0</v>
      </c>
      <c r="AZ38" s="844">
        <f t="shared" si="78"/>
        <v>0</v>
      </c>
      <c r="BA38" s="844">
        <f t="shared" si="79"/>
        <v>0</v>
      </c>
      <c r="BB38" s="844">
        <f t="shared" si="80"/>
        <v>0</v>
      </c>
      <c r="BC38" s="844">
        <f t="shared" si="81"/>
        <v>0</v>
      </c>
      <c r="BD38" s="844">
        <f t="shared" si="82"/>
        <v>0</v>
      </c>
      <c r="BE38" s="844">
        <f t="shared" si="83"/>
        <v>0</v>
      </c>
      <c r="BG38" s="844">
        <f t="shared" si="84"/>
        <v>0</v>
      </c>
      <c r="BH38" s="844">
        <f t="shared" si="85"/>
        <v>0</v>
      </c>
      <c r="BI38" s="844">
        <f t="shared" si="86"/>
        <v>0</v>
      </c>
      <c r="BJ38" s="844">
        <f t="shared" si="87"/>
        <v>0</v>
      </c>
      <c r="BK38" s="846">
        <f t="shared" si="41"/>
        <v>0</v>
      </c>
      <c r="BL38" s="844">
        <f t="shared" si="88"/>
        <v>0</v>
      </c>
      <c r="BN38" s="844">
        <f t="shared" si="89"/>
        <v>0</v>
      </c>
      <c r="BO38" s="844">
        <f t="shared" si="90"/>
        <v>0</v>
      </c>
      <c r="BP38" s="844">
        <f t="shared" si="91"/>
        <v>0</v>
      </c>
      <c r="BQ38" s="844">
        <f t="shared" si="92"/>
        <v>0</v>
      </c>
      <c r="BR38" s="846">
        <f t="shared" si="47"/>
        <v>0</v>
      </c>
      <c r="BS38" s="844">
        <f t="shared" si="93"/>
        <v>0</v>
      </c>
    </row>
    <row r="39" spans="1:85" s="924" customFormat="1" ht="18" customHeight="1" x14ac:dyDescent="0.25">
      <c r="A39" s="913" t="s">
        <v>75</v>
      </c>
      <c r="B39" s="913" t="str">
        <f>'ADU-7'!B$3:E$3</f>
        <v>Performance énergétique</v>
      </c>
      <c r="C39" s="914" t="str">
        <f>'ADU-7'!$B$8</f>
        <v xml:space="preserve">Logements </v>
      </c>
      <c r="D39" s="915" t="str">
        <f>'ADU-7'!$B$9</f>
        <v>Travaux d'isolation - PLANCHERS</v>
      </c>
      <c r="E39" s="915" t="str">
        <f>'ADU-7'!$B$4</f>
        <v>Logement</v>
      </c>
      <c r="F39" s="915" t="str">
        <f>'ADU-7'!$B$12</f>
        <v>Citoyen</v>
      </c>
      <c r="G39" s="915" t="str">
        <f>'ADU-7'!$B$6</f>
        <v>ECOPÄCK</v>
      </c>
      <c r="H39" s="916">
        <f>'ADU-7'!$B$17</f>
        <v>750000</v>
      </c>
      <c r="I39" s="915" t="str">
        <f>'ADU-7'!$B$7</f>
        <v>Primes RW</v>
      </c>
      <c r="J39" s="916">
        <f>'ADU-7'!$B$18</f>
        <v>60000</v>
      </c>
      <c r="K39" s="916">
        <f>'ADU-7'!$B$21</f>
        <v>15737.565814776404</v>
      </c>
      <c r="L39" s="916">
        <f>'ADU-7'!$B$22</f>
        <v>0</v>
      </c>
      <c r="M39" s="917">
        <f>'ADU-7'!$B$24</f>
        <v>43.844137531875568</v>
      </c>
      <c r="N39" s="918">
        <f>'ADU-7'!$B$25</f>
        <v>56.064708535537434</v>
      </c>
      <c r="O39" s="919">
        <f t="shared" si="243"/>
        <v>8.1253200776141218E-2</v>
      </c>
      <c r="P39" s="920" t="str">
        <f>'ADU-7'!$B$5</f>
        <v>A faire</v>
      </c>
      <c r="Q39" s="921">
        <f>'ADU-7'!$B$16</f>
        <v>2030</v>
      </c>
      <c r="R39" s="922" t="str">
        <f t="shared" si="244"/>
        <v/>
      </c>
      <c r="S39" s="923">
        <f t="shared" si="49"/>
        <v>0</v>
      </c>
      <c r="T39" s="923">
        <f t="shared" si="50"/>
        <v>0</v>
      </c>
      <c r="U39" s="923">
        <f t="shared" si="51"/>
        <v>0</v>
      </c>
      <c r="V39" s="923">
        <f t="shared" si="52"/>
        <v>0</v>
      </c>
      <c r="W39" s="923">
        <f t="shared" si="53"/>
        <v>0</v>
      </c>
      <c r="X39" s="923">
        <f t="shared" si="54"/>
        <v>0</v>
      </c>
      <c r="Y39" s="923">
        <f t="shared" si="55"/>
        <v>0</v>
      </c>
      <c r="AA39" s="923">
        <f t="shared" si="56"/>
        <v>0</v>
      </c>
      <c r="AB39" s="923">
        <f t="shared" si="57"/>
        <v>0</v>
      </c>
      <c r="AC39" s="923">
        <f t="shared" si="58"/>
        <v>0</v>
      </c>
      <c r="AD39" s="923">
        <f t="shared" si="59"/>
        <v>0</v>
      </c>
      <c r="AE39" s="923">
        <f t="shared" si="60"/>
        <v>0</v>
      </c>
      <c r="AF39" s="923">
        <f t="shared" si="61"/>
        <v>0</v>
      </c>
      <c r="AG39" s="923">
        <f t="shared" si="62"/>
        <v>0</v>
      </c>
      <c r="AI39" s="923">
        <f t="shared" si="63"/>
        <v>0</v>
      </c>
      <c r="AJ39" s="923">
        <f t="shared" si="64"/>
        <v>0</v>
      </c>
      <c r="AK39" s="923">
        <f t="shared" si="65"/>
        <v>0</v>
      </c>
      <c r="AL39" s="923">
        <f t="shared" si="66"/>
        <v>0</v>
      </c>
      <c r="AM39" s="923">
        <f t="shared" si="67"/>
        <v>0</v>
      </c>
      <c r="AN39" s="923">
        <f t="shared" si="68"/>
        <v>0</v>
      </c>
      <c r="AO39" s="923">
        <f t="shared" si="69"/>
        <v>0</v>
      </c>
      <c r="AQ39" s="923">
        <f t="shared" si="70"/>
        <v>0</v>
      </c>
      <c r="AR39" s="923">
        <f t="shared" si="71"/>
        <v>0</v>
      </c>
      <c r="AS39" s="923">
        <f t="shared" si="72"/>
        <v>0</v>
      </c>
      <c r="AT39" s="923">
        <f t="shared" si="73"/>
        <v>0</v>
      </c>
      <c r="AU39" s="923">
        <f t="shared" si="74"/>
        <v>0</v>
      </c>
      <c r="AV39" s="923">
        <f t="shared" si="75"/>
        <v>0</v>
      </c>
      <c r="AW39" s="923">
        <f t="shared" si="76"/>
        <v>0</v>
      </c>
      <c r="AY39" s="923">
        <f t="shared" si="77"/>
        <v>0</v>
      </c>
      <c r="AZ39" s="923">
        <f t="shared" si="78"/>
        <v>0</v>
      </c>
      <c r="BA39" s="923">
        <f t="shared" si="79"/>
        <v>0</v>
      </c>
      <c r="BB39" s="923">
        <f t="shared" si="80"/>
        <v>0</v>
      </c>
      <c r="BC39" s="923">
        <f t="shared" si="81"/>
        <v>0</v>
      </c>
      <c r="BD39" s="923">
        <f t="shared" si="82"/>
        <v>0</v>
      </c>
      <c r="BE39" s="923">
        <f t="shared" si="83"/>
        <v>0</v>
      </c>
      <c r="BG39" s="923">
        <f t="shared" si="84"/>
        <v>0</v>
      </c>
      <c r="BH39" s="923">
        <f t="shared" si="85"/>
        <v>0</v>
      </c>
      <c r="BI39" s="923">
        <f t="shared" si="86"/>
        <v>0</v>
      </c>
      <c r="BJ39" s="923">
        <f t="shared" si="87"/>
        <v>0</v>
      </c>
      <c r="BK39" s="925">
        <f t="shared" si="41"/>
        <v>0</v>
      </c>
      <c r="BL39" s="923">
        <f t="shared" si="88"/>
        <v>0</v>
      </c>
      <c r="BN39" s="923">
        <f t="shared" si="89"/>
        <v>0</v>
      </c>
      <c r="BO39" s="923">
        <f t="shared" si="90"/>
        <v>0</v>
      </c>
      <c r="BP39" s="923">
        <f t="shared" si="91"/>
        <v>0</v>
      </c>
      <c r="BQ39" s="923">
        <f t="shared" si="92"/>
        <v>0</v>
      </c>
      <c r="BR39" s="925">
        <f t="shared" si="47"/>
        <v>0</v>
      </c>
      <c r="BS39" s="923">
        <f t="shared" si="93"/>
        <v>0</v>
      </c>
    </row>
    <row r="40" spans="1:85" s="924" customFormat="1" ht="18" customHeight="1" x14ac:dyDescent="0.25">
      <c r="A40" s="913" t="s">
        <v>79</v>
      </c>
      <c r="B40" s="913" t="str">
        <f>'ADU-8'!B$3:E$3</f>
        <v>Performance énergétique</v>
      </c>
      <c r="C40" s="914" t="str">
        <f>'ADU-8'!$B$8</f>
        <v xml:space="preserve">Logements </v>
      </c>
      <c r="D40" s="915" t="str">
        <f>'ADU-8'!$B$9</f>
        <v>Travaux d'isolation -TOITURES</v>
      </c>
      <c r="E40" s="915" t="str">
        <f>'ADU-8'!$B$4</f>
        <v>Logement</v>
      </c>
      <c r="F40" s="915" t="str">
        <f>'ADU-8'!$B$12</f>
        <v>Citoyen</v>
      </c>
      <c r="G40" s="915" t="str">
        <f>'ADU-8'!$B$6</f>
        <v>ECOPÄCK</v>
      </c>
      <c r="H40" s="916">
        <f>'ADU-8'!$B$17</f>
        <v>2750000</v>
      </c>
      <c r="I40" s="915" t="str">
        <f>'ADU-8'!$B$7</f>
        <v>Primes RW</v>
      </c>
      <c r="J40" s="916">
        <f>'ADU-8'!$B$18</f>
        <v>220000</v>
      </c>
      <c r="K40" s="916">
        <f>'ADU-8'!$B$21</f>
        <v>180457.42134276946</v>
      </c>
      <c r="L40" s="916">
        <f>'ADU-8'!$B$22</f>
        <v>0</v>
      </c>
      <c r="M40" s="917">
        <f>'ADU-8'!$B$24</f>
        <v>14.019927699146255</v>
      </c>
      <c r="N40" s="918">
        <f>'ADU-8'!$B$25</f>
        <v>523.27061299834952</v>
      </c>
      <c r="O40" s="919">
        <f t="shared" si="243"/>
        <v>0.2068263292483595</v>
      </c>
      <c r="P40" s="920" t="str">
        <f>'ADU-8'!$B$5</f>
        <v>A faire</v>
      </c>
      <c r="Q40" s="921">
        <f>'ADU-8'!$B$16</f>
        <v>2030</v>
      </c>
      <c r="R40" s="922" t="str">
        <f t="shared" si="244"/>
        <v/>
      </c>
      <c r="S40" s="923">
        <f t="shared" si="49"/>
        <v>0</v>
      </c>
      <c r="T40" s="923">
        <f t="shared" si="50"/>
        <v>0</v>
      </c>
      <c r="U40" s="923">
        <f t="shared" si="51"/>
        <v>0</v>
      </c>
      <c r="V40" s="923">
        <f t="shared" si="52"/>
        <v>0</v>
      </c>
      <c r="W40" s="923">
        <f t="shared" si="53"/>
        <v>0</v>
      </c>
      <c r="X40" s="923">
        <f t="shared" si="54"/>
        <v>0</v>
      </c>
      <c r="Y40" s="923">
        <f t="shared" si="55"/>
        <v>0</v>
      </c>
      <c r="AA40" s="923">
        <f t="shared" si="56"/>
        <v>0</v>
      </c>
      <c r="AB40" s="923">
        <f t="shared" si="57"/>
        <v>0</v>
      </c>
      <c r="AC40" s="923">
        <f t="shared" si="58"/>
        <v>0</v>
      </c>
      <c r="AD40" s="923">
        <f t="shared" si="59"/>
        <v>0</v>
      </c>
      <c r="AE40" s="923">
        <f t="shared" si="60"/>
        <v>0</v>
      </c>
      <c r="AF40" s="923">
        <f t="shared" si="61"/>
        <v>0</v>
      </c>
      <c r="AG40" s="923">
        <f t="shared" si="62"/>
        <v>0</v>
      </c>
      <c r="AI40" s="923">
        <f t="shared" si="63"/>
        <v>0</v>
      </c>
      <c r="AJ40" s="923">
        <f t="shared" si="64"/>
        <v>0</v>
      </c>
      <c r="AK40" s="923">
        <f t="shared" si="65"/>
        <v>0</v>
      </c>
      <c r="AL40" s="923">
        <f t="shared" si="66"/>
        <v>0</v>
      </c>
      <c r="AM40" s="923">
        <f t="shared" si="67"/>
        <v>0</v>
      </c>
      <c r="AN40" s="923">
        <f t="shared" si="68"/>
        <v>0</v>
      </c>
      <c r="AO40" s="923">
        <f t="shared" si="69"/>
        <v>0</v>
      </c>
      <c r="AQ40" s="923">
        <f t="shared" si="70"/>
        <v>0</v>
      </c>
      <c r="AR40" s="923">
        <f t="shared" si="71"/>
        <v>0</v>
      </c>
      <c r="AS40" s="923">
        <f t="shared" si="72"/>
        <v>0</v>
      </c>
      <c r="AT40" s="923">
        <f t="shared" si="73"/>
        <v>0</v>
      </c>
      <c r="AU40" s="923">
        <f t="shared" si="74"/>
        <v>0</v>
      </c>
      <c r="AV40" s="923">
        <f t="shared" si="75"/>
        <v>0</v>
      </c>
      <c r="AW40" s="923">
        <f t="shared" si="76"/>
        <v>0</v>
      </c>
      <c r="AY40" s="923">
        <f t="shared" si="77"/>
        <v>0</v>
      </c>
      <c r="AZ40" s="923">
        <f t="shared" si="78"/>
        <v>0</v>
      </c>
      <c r="BA40" s="923">
        <f t="shared" si="79"/>
        <v>0</v>
      </c>
      <c r="BB40" s="923">
        <f t="shared" si="80"/>
        <v>0</v>
      </c>
      <c r="BC40" s="923">
        <f t="shared" si="81"/>
        <v>0</v>
      </c>
      <c r="BD40" s="923">
        <f t="shared" si="82"/>
        <v>0</v>
      </c>
      <c r="BE40" s="923">
        <f t="shared" si="83"/>
        <v>0</v>
      </c>
      <c r="BG40" s="923">
        <f t="shared" si="84"/>
        <v>0</v>
      </c>
      <c r="BH40" s="923">
        <f t="shared" si="85"/>
        <v>0</v>
      </c>
      <c r="BI40" s="923">
        <f t="shared" si="86"/>
        <v>0</v>
      </c>
      <c r="BJ40" s="923">
        <f t="shared" si="87"/>
        <v>0</v>
      </c>
      <c r="BK40" s="925">
        <f t="shared" ref="BK40:BK76" si="245">IF((P40="Terminé")*AND(F40="AC MESSANCY"),H40,0)</f>
        <v>0</v>
      </c>
      <c r="BL40" s="923">
        <f t="shared" si="88"/>
        <v>0</v>
      </c>
      <c r="BN40" s="923">
        <f t="shared" si="89"/>
        <v>0</v>
      </c>
      <c r="BO40" s="923">
        <f t="shared" si="90"/>
        <v>0</v>
      </c>
      <c r="BP40" s="923">
        <f t="shared" si="91"/>
        <v>0</v>
      </c>
      <c r="BQ40" s="923">
        <f t="shared" si="92"/>
        <v>0</v>
      </c>
      <c r="BR40" s="925">
        <f t="shared" ref="BR40:BR76" si="246">IF((P40="Terminé")*AND(F40="AC MESSANCY"),J40,0)</f>
        <v>0</v>
      </c>
      <c r="BS40" s="923">
        <f t="shared" si="93"/>
        <v>0</v>
      </c>
    </row>
    <row r="41" spans="1:85" s="924" customFormat="1" ht="18" customHeight="1" x14ac:dyDescent="0.25">
      <c r="A41" s="913" t="s">
        <v>80</v>
      </c>
      <c r="B41" s="913" t="str">
        <f>'ADU-9'!B$3:E$3</f>
        <v>Performance énergétique</v>
      </c>
      <c r="C41" s="914" t="str">
        <f>'ADU-9'!$B$8</f>
        <v xml:space="preserve">Logements </v>
      </c>
      <c r="D41" s="915" t="str">
        <f>'ADU-9'!$B$9</f>
        <v>Travaux d'isolation _ MURS EXTERIEURS</v>
      </c>
      <c r="E41" s="915" t="str">
        <f>'ADU-9'!$B$4</f>
        <v>Logement</v>
      </c>
      <c r="F41" s="915" t="str">
        <f>'ADU-9'!$B$12</f>
        <v>Citoyen</v>
      </c>
      <c r="G41" s="915" t="str">
        <f>'ADU-9'!$B$6</f>
        <v>ECOPÄCK</v>
      </c>
      <c r="H41" s="916">
        <f>'ADU-9'!$B$17</f>
        <v>1400000</v>
      </c>
      <c r="I41" s="915" t="str">
        <f>'ADU-9'!$B$7</f>
        <v>Primes RW</v>
      </c>
      <c r="J41" s="916">
        <f>'ADU-9'!$B$18</f>
        <v>112000</v>
      </c>
      <c r="K41" s="916">
        <f>'ADU-9'!$B$21</f>
        <v>32224.539525494543</v>
      </c>
      <c r="L41" s="916">
        <f>'ADU-9'!$B$22</f>
        <v>0</v>
      </c>
      <c r="M41" s="917">
        <f>'ADU-9'!$B$24</f>
        <v>39.969539331384233</v>
      </c>
      <c r="N41" s="918">
        <f>'ADU-9'!$B$25</f>
        <v>93.4411808925624</v>
      </c>
      <c r="O41" s="919">
        <f t="shared" si="243"/>
        <v>7.2547500692983227E-2</v>
      </c>
      <c r="P41" s="920" t="str">
        <f>'ADU-9'!$B$5</f>
        <v>A faire</v>
      </c>
      <c r="Q41" s="921">
        <f>'ADU-9'!$B$16</f>
        <v>2030</v>
      </c>
      <c r="R41" s="922" t="str">
        <f t="shared" si="244"/>
        <v/>
      </c>
      <c r="S41" s="923">
        <f t="shared" si="49"/>
        <v>0</v>
      </c>
      <c r="T41" s="923">
        <f t="shared" si="50"/>
        <v>0</v>
      </c>
      <c r="U41" s="923">
        <f t="shared" si="51"/>
        <v>0</v>
      </c>
      <c r="V41" s="923">
        <f t="shared" si="52"/>
        <v>0</v>
      </c>
      <c r="W41" s="923">
        <f t="shared" si="53"/>
        <v>0</v>
      </c>
      <c r="X41" s="923">
        <f t="shared" si="54"/>
        <v>0</v>
      </c>
      <c r="Y41" s="923">
        <f t="shared" si="55"/>
        <v>0</v>
      </c>
      <c r="AA41" s="923">
        <f t="shared" si="56"/>
        <v>0</v>
      </c>
      <c r="AB41" s="923">
        <f t="shared" si="57"/>
        <v>0</v>
      </c>
      <c r="AC41" s="923">
        <f t="shared" si="58"/>
        <v>0</v>
      </c>
      <c r="AD41" s="923">
        <f t="shared" si="59"/>
        <v>0</v>
      </c>
      <c r="AE41" s="923">
        <f t="shared" si="60"/>
        <v>0</v>
      </c>
      <c r="AF41" s="923">
        <f t="shared" si="61"/>
        <v>0</v>
      </c>
      <c r="AG41" s="923">
        <f t="shared" si="62"/>
        <v>0</v>
      </c>
      <c r="AI41" s="923">
        <f t="shared" si="63"/>
        <v>0</v>
      </c>
      <c r="AJ41" s="923">
        <f t="shared" si="64"/>
        <v>0</v>
      </c>
      <c r="AK41" s="923">
        <f t="shared" si="65"/>
        <v>0</v>
      </c>
      <c r="AL41" s="923">
        <f t="shared" si="66"/>
        <v>0</v>
      </c>
      <c r="AM41" s="923">
        <f t="shared" si="67"/>
        <v>0</v>
      </c>
      <c r="AN41" s="923">
        <f t="shared" si="68"/>
        <v>0</v>
      </c>
      <c r="AO41" s="923">
        <f t="shared" si="69"/>
        <v>0</v>
      </c>
      <c r="AQ41" s="923">
        <f t="shared" si="70"/>
        <v>0</v>
      </c>
      <c r="AR41" s="923">
        <f t="shared" si="71"/>
        <v>0</v>
      </c>
      <c r="AS41" s="923">
        <f t="shared" si="72"/>
        <v>0</v>
      </c>
      <c r="AT41" s="923">
        <f t="shared" si="73"/>
        <v>0</v>
      </c>
      <c r="AU41" s="923">
        <f t="shared" si="74"/>
        <v>0</v>
      </c>
      <c r="AV41" s="923">
        <f t="shared" si="75"/>
        <v>0</v>
      </c>
      <c r="AW41" s="923">
        <f t="shared" si="76"/>
        <v>0</v>
      </c>
      <c r="AY41" s="923">
        <f t="shared" si="77"/>
        <v>0</v>
      </c>
      <c r="AZ41" s="923">
        <f t="shared" si="78"/>
        <v>0</v>
      </c>
      <c r="BA41" s="923">
        <f t="shared" si="79"/>
        <v>0</v>
      </c>
      <c r="BB41" s="923">
        <f t="shared" si="80"/>
        <v>0</v>
      </c>
      <c r="BC41" s="923">
        <f t="shared" si="81"/>
        <v>0</v>
      </c>
      <c r="BD41" s="923">
        <f t="shared" si="82"/>
        <v>0</v>
      </c>
      <c r="BE41" s="923">
        <f t="shared" si="83"/>
        <v>0</v>
      </c>
      <c r="BG41" s="923">
        <f t="shared" si="84"/>
        <v>0</v>
      </c>
      <c r="BH41" s="923">
        <f t="shared" si="85"/>
        <v>0</v>
      </c>
      <c r="BI41" s="923">
        <f t="shared" si="86"/>
        <v>0</v>
      </c>
      <c r="BJ41" s="923">
        <f t="shared" si="87"/>
        <v>0</v>
      </c>
      <c r="BK41" s="925">
        <f t="shared" si="245"/>
        <v>0</v>
      </c>
      <c r="BL41" s="923">
        <f t="shared" si="88"/>
        <v>0</v>
      </c>
      <c r="BN41" s="923">
        <f t="shared" si="89"/>
        <v>0</v>
      </c>
      <c r="BO41" s="923">
        <f t="shared" si="90"/>
        <v>0</v>
      </c>
      <c r="BP41" s="923">
        <f t="shared" si="91"/>
        <v>0</v>
      </c>
      <c r="BQ41" s="923">
        <f t="shared" si="92"/>
        <v>0</v>
      </c>
      <c r="BR41" s="925">
        <f t="shared" si="246"/>
        <v>0</v>
      </c>
      <c r="BS41" s="923">
        <f t="shared" si="93"/>
        <v>0</v>
      </c>
    </row>
    <row r="42" spans="1:85" s="924" customFormat="1" ht="18" customHeight="1" x14ac:dyDescent="0.25">
      <c r="A42" s="913" t="s">
        <v>81</v>
      </c>
      <c r="B42" s="913" t="str">
        <f>'ADU-10'!B$3:E$3</f>
        <v>Performance énergétique</v>
      </c>
      <c r="C42" s="914" t="str">
        <f>'ADU-10'!$B$8</f>
        <v xml:space="preserve">Logements </v>
      </c>
      <c r="D42" s="915" t="str">
        <f>'ADU-10'!$B$9</f>
        <v>Travaux d'isolation  - VITRAGES</v>
      </c>
      <c r="E42" s="915" t="str">
        <f>'ADU-10'!$B$4</f>
        <v>Logement</v>
      </c>
      <c r="F42" s="915" t="str">
        <f>'ADU-10'!$B$12</f>
        <v>Citoyen</v>
      </c>
      <c r="G42" s="915" t="str">
        <f>'ADU-10'!$B$6</f>
        <v>ECOPÄCK</v>
      </c>
      <c r="H42" s="916">
        <f>'ADU-10'!$B$17</f>
        <v>1620000</v>
      </c>
      <c r="I42" s="915" t="str">
        <f>'ADU-10'!$B$7</f>
        <v>Primes RW</v>
      </c>
      <c r="J42" s="916">
        <f>'ADU-10'!$B$18</f>
        <v>75000</v>
      </c>
      <c r="K42" s="916">
        <f>'ADU-10'!$B$21</f>
        <v>38669.447430593456</v>
      </c>
      <c r="L42" s="916">
        <f>'ADU-10'!$B$22</f>
        <v>0</v>
      </c>
      <c r="M42" s="917">
        <f>'ADU-10'!$B$24</f>
        <v>39.954023205867387</v>
      </c>
      <c r="N42" s="918">
        <f>'ADU-10'!$B$25</f>
        <v>112.12941707107488</v>
      </c>
      <c r="O42" s="919">
        <f t="shared" si="243"/>
        <v>7.257567447966011E-2</v>
      </c>
      <c r="P42" s="920" t="str">
        <f>'ADU-10'!$B$5</f>
        <v>A faire</v>
      </c>
      <c r="Q42" s="921">
        <f>'ADU-10'!$B$16</f>
        <v>2030</v>
      </c>
      <c r="R42" s="922" t="str">
        <f t="shared" si="244"/>
        <v/>
      </c>
      <c r="S42" s="923">
        <f t="shared" si="49"/>
        <v>0</v>
      </c>
      <c r="T42" s="923">
        <f t="shared" si="50"/>
        <v>0</v>
      </c>
      <c r="U42" s="923">
        <f t="shared" si="51"/>
        <v>0</v>
      </c>
      <c r="V42" s="923">
        <f t="shared" si="52"/>
        <v>0</v>
      </c>
      <c r="W42" s="923">
        <f t="shared" si="53"/>
        <v>0</v>
      </c>
      <c r="X42" s="923">
        <f t="shared" si="54"/>
        <v>0</v>
      </c>
      <c r="Y42" s="923">
        <f t="shared" si="55"/>
        <v>0</v>
      </c>
      <c r="AA42" s="923">
        <f t="shared" si="56"/>
        <v>0</v>
      </c>
      <c r="AB42" s="923">
        <f t="shared" si="57"/>
        <v>0</v>
      </c>
      <c r="AC42" s="923">
        <f t="shared" si="58"/>
        <v>0</v>
      </c>
      <c r="AD42" s="923">
        <f t="shared" si="59"/>
        <v>0</v>
      </c>
      <c r="AE42" s="923">
        <f t="shared" si="60"/>
        <v>0</v>
      </c>
      <c r="AF42" s="923">
        <f t="shared" si="61"/>
        <v>0</v>
      </c>
      <c r="AG42" s="923">
        <f t="shared" si="62"/>
        <v>0</v>
      </c>
      <c r="AI42" s="923">
        <f t="shared" si="63"/>
        <v>0</v>
      </c>
      <c r="AJ42" s="923">
        <f t="shared" si="64"/>
        <v>0</v>
      </c>
      <c r="AK42" s="923">
        <f t="shared" si="65"/>
        <v>0</v>
      </c>
      <c r="AL42" s="923">
        <f t="shared" si="66"/>
        <v>0</v>
      </c>
      <c r="AM42" s="923">
        <f t="shared" si="67"/>
        <v>0</v>
      </c>
      <c r="AN42" s="923">
        <f t="shared" si="68"/>
        <v>0</v>
      </c>
      <c r="AO42" s="923">
        <f t="shared" si="69"/>
        <v>0</v>
      </c>
      <c r="AQ42" s="923">
        <f t="shared" si="70"/>
        <v>0</v>
      </c>
      <c r="AR42" s="923">
        <f t="shared" si="71"/>
        <v>0</v>
      </c>
      <c r="AS42" s="923">
        <f t="shared" si="72"/>
        <v>0</v>
      </c>
      <c r="AT42" s="923">
        <f t="shared" si="73"/>
        <v>0</v>
      </c>
      <c r="AU42" s="923">
        <f t="shared" si="74"/>
        <v>0</v>
      </c>
      <c r="AV42" s="923">
        <f t="shared" si="75"/>
        <v>0</v>
      </c>
      <c r="AW42" s="923">
        <f t="shared" si="76"/>
        <v>0</v>
      </c>
      <c r="AY42" s="923">
        <f t="shared" si="77"/>
        <v>0</v>
      </c>
      <c r="AZ42" s="923">
        <f t="shared" si="78"/>
        <v>0</v>
      </c>
      <c r="BA42" s="923">
        <f t="shared" si="79"/>
        <v>0</v>
      </c>
      <c r="BB42" s="923">
        <f t="shared" si="80"/>
        <v>0</v>
      </c>
      <c r="BC42" s="923">
        <f t="shared" si="81"/>
        <v>0</v>
      </c>
      <c r="BD42" s="923">
        <f t="shared" si="82"/>
        <v>0</v>
      </c>
      <c r="BE42" s="923">
        <f t="shared" si="83"/>
        <v>0</v>
      </c>
      <c r="BG42" s="923">
        <f t="shared" si="84"/>
        <v>0</v>
      </c>
      <c r="BH42" s="923">
        <f t="shared" si="85"/>
        <v>0</v>
      </c>
      <c r="BI42" s="923">
        <f t="shared" si="86"/>
        <v>0</v>
      </c>
      <c r="BJ42" s="923">
        <f t="shared" si="87"/>
        <v>0</v>
      </c>
      <c r="BK42" s="925">
        <f t="shared" si="245"/>
        <v>0</v>
      </c>
      <c r="BL42" s="923">
        <f t="shared" si="88"/>
        <v>0</v>
      </c>
      <c r="BN42" s="923">
        <f t="shared" si="89"/>
        <v>0</v>
      </c>
      <c r="BO42" s="923">
        <f t="shared" si="90"/>
        <v>0</v>
      </c>
      <c r="BP42" s="923">
        <f t="shared" si="91"/>
        <v>0</v>
      </c>
      <c r="BQ42" s="923">
        <f t="shared" si="92"/>
        <v>0</v>
      </c>
      <c r="BR42" s="925">
        <f t="shared" si="246"/>
        <v>0</v>
      </c>
      <c r="BS42" s="923">
        <f t="shared" si="93"/>
        <v>0</v>
      </c>
    </row>
    <row r="43" spans="1:85" s="924" customFormat="1" ht="18" customHeight="1" x14ac:dyDescent="0.25">
      <c r="A43" s="913" t="s">
        <v>485</v>
      </c>
      <c r="B43" s="913" t="str">
        <f>'ADU-11'!B$3:E$3</f>
        <v>Performance énergétique</v>
      </c>
      <c r="C43" s="914" t="str">
        <f>'ADU-11'!$B$8</f>
        <v xml:space="preserve">Logements </v>
      </c>
      <c r="D43" s="915" t="str">
        <f>'ADU-11'!$B$9</f>
        <v>Luminaires économiques</v>
      </c>
      <c r="E43" s="915" t="str">
        <f>'ADU-11'!$B$4</f>
        <v>Logement</v>
      </c>
      <c r="F43" s="915" t="str">
        <f>'ADU-11'!$B$12</f>
        <v>Citoyen</v>
      </c>
      <c r="G43" s="915" t="str">
        <f>'ADU-11'!$B$6</f>
        <v>Fonds propres</v>
      </c>
      <c r="H43" s="916">
        <f>'ADU-11'!$B$17</f>
        <v>35000</v>
      </c>
      <c r="I43" s="915" t="str">
        <f>'ADU-11'!$B$7</f>
        <v>Néant</v>
      </c>
      <c r="J43" s="916">
        <f>'ADU-11'!$B$18</f>
        <v>0</v>
      </c>
      <c r="K43" s="916">
        <f>'ADU-11'!$B$21</f>
        <v>13140</v>
      </c>
      <c r="L43" s="916">
        <f>'ADU-11'!$B$22</f>
        <v>0</v>
      </c>
      <c r="M43" s="917">
        <f>'ADU-11'!$B$24</f>
        <v>2.6636225266362255</v>
      </c>
      <c r="N43" s="918">
        <f>'ADU-11'!$B$25</f>
        <v>18.198900000000002</v>
      </c>
      <c r="O43" s="919">
        <f t="shared" si="243"/>
        <v>0.51996857142857145</v>
      </c>
      <c r="P43" s="920" t="str">
        <f>'ADU-11'!$B$5</f>
        <v>A faire</v>
      </c>
      <c r="Q43" s="921">
        <f>'ADU-11'!$B$16</f>
        <v>2030</v>
      </c>
      <c r="R43" s="922" t="str">
        <f t="shared" si="244"/>
        <v/>
      </c>
      <c r="S43" s="923">
        <f t="shared" si="49"/>
        <v>0</v>
      </c>
      <c r="T43" s="923">
        <f t="shared" si="50"/>
        <v>0</v>
      </c>
      <c r="U43" s="923">
        <f t="shared" si="51"/>
        <v>0</v>
      </c>
      <c r="V43" s="923">
        <f t="shared" si="52"/>
        <v>0</v>
      </c>
      <c r="W43" s="923">
        <f t="shared" si="53"/>
        <v>0</v>
      </c>
      <c r="X43" s="923">
        <f t="shared" si="54"/>
        <v>0</v>
      </c>
      <c r="Y43" s="923">
        <f t="shared" si="55"/>
        <v>0</v>
      </c>
      <c r="AA43" s="923">
        <f t="shared" si="56"/>
        <v>0</v>
      </c>
      <c r="AB43" s="923">
        <f t="shared" si="57"/>
        <v>0</v>
      </c>
      <c r="AC43" s="923">
        <f t="shared" si="58"/>
        <v>0</v>
      </c>
      <c r="AD43" s="923">
        <f t="shared" si="59"/>
        <v>0</v>
      </c>
      <c r="AE43" s="923">
        <f t="shared" si="60"/>
        <v>0</v>
      </c>
      <c r="AF43" s="923">
        <f t="shared" si="61"/>
        <v>0</v>
      </c>
      <c r="AG43" s="923">
        <f t="shared" si="62"/>
        <v>0</v>
      </c>
      <c r="AI43" s="923">
        <f t="shared" si="63"/>
        <v>0</v>
      </c>
      <c r="AJ43" s="923">
        <f t="shared" si="64"/>
        <v>0</v>
      </c>
      <c r="AK43" s="923">
        <f t="shared" si="65"/>
        <v>0</v>
      </c>
      <c r="AL43" s="923">
        <f t="shared" si="66"/>
        <v>0</v>
      </c>
      <c r="AM43" s="923">
        <f t="shared" si="67"/>
        <v>0</v>
      </c>
      <c r="AN43" s="923">
        <f t="shared" si="68"/>
        <v>0</v>
      </c>
      <c r="AO43" s="923">
        <f t="shared" si="69"/>
        <v>0</v>
      </c>
      <c r="AQ43" s="923">
        <f t="shared" si="70"/>
        <v>0</v>
      </c>
      <c r="AR43" s="923">
        <f t="shared" si="71"/>
        <v>0</v>
      </c>
      <c r="AS43" s="923">
        <f t="shared" si="72"/>
        <v>0</v>
      </c>
      <c r="AT43" s="923">
        <f t="shared" si="73"/>
        <v>0</v>
      </c>
      <c r="AU43" s="923">
        <f t="shared" si="74"/>
        <v>0</v>
      </c>
      <c r="AV43" s="923">
        <f t="shared" si="75"/>
        <v>0</v>
      </c>
      <c r="AW43" s="923">
        <f t="shared" si="76"/>
        <v>0</v>
      </c>
      <c r="AY43" s="923">
        <f t="shared" si="77"/>
        <v>0</v>
      </c>
      <c r="AZ43" s="923">
        <f t="shared" si="78"/>
        <v>0</v>
      </c>
      <c r="BA43" s="923">
        <f t="shared" si="79"/>
        <v>0</v>
      </c>
      <c r="BB43" s="923">
        <f t="shared" si="80"/>
        <v>0</v>
      </c>
      <c r="BC43" s="923">
        <f t="shared" si="81"/>
        <v>0</v>
      </c>
      <c r="BD43" s="923">
        <f t="shared" si="82"/>
        <v>0</v>
      </c>
      <c r="BE43" s="923">
        <f t="shared" si="83"/>
        <v>0</v>
      </c>
      <c r="BG43" s="923">
        <f t="shared" si="84"/>
        <v>0</v>
      </c>
      <c r="BH43" s="923">
        <f t="shared" si="85"/>
        <v>0</v>
      </c>
      <c r="BI43" s="923">
        <f t="shared" si="86"/>
        <v>0</v>
      </c>
      <c r="BJ43" s="923">
        <f t="shared" si="87"/>
        <v>0</v>
      </c>
      <c r="BK43" s="925">
        <f t="shared" si="245"/>
        <v>0</v>
      </c>
      <c r="BL43" s="923">
        <f t="shared" si="88"/>
        <v>0</v>
      </c>
      <c r="BN43" s="923">
        <f t="shared" si="89"/>
        <v>0</v>
      </c>
      <c r="BO43" s="923">
        <f t="shared" si="90"/>
        <v>0</v>
      </c>
      <c r="BP43" s="923">
        <f t="shared" si="91"/>
        <v>0</v>
      </c>
      <c r="BQ43" s="923">
        <f t="shared" si="92"/>
        <v>0</v>
      </c>
      <c r="BR43" s="925">
        <f t="shared" si="246"/>
        <v>0</v>
      </c>
      <c r="BS43" s="923">
        <f t="shared" si="93"/>
        <v>0</v>
      </c>
    </row>
    <row r="44" spans="1:85" s="924" customFormat="1" ht="18" customHeight="1" x14ac:dyDescent="0.25">
      <c r="A44" s="913" t="s">
        <v>82</v>
      </c>
      <c r="B44" s="913" t="str">
        <f>'ADU-12'!B$3:E$3</f>
        <v>Performance énergétique</v>
      </c>
      <c r="C44" s="914" t="str">
        <f>'ADU-12'!$B$8</f>
        <v xml:space="preserve">Logements </v>
      </c>
      <c r="D44" s="915" t="str">
        <f>'ADU-12'!$B$9</f>
        <v>Electroménager ECO</v>
      </c>
      <c r="E44" s="915" t="str">
        <f>'ADU-12'!$B$4</f>
        <v>Logement</v>
      </c>
      <c r="F44" s="915" t="str">
        <f>'ADU-12'!$B$12</f>
        <v>Citoyen</v>
      </c>
      <c r="G44" s="915" t="str">
        <f>'ADU-12'!$B$6</f>
        <v>Fonds propres</v>
      </c>
      <c r="H44" s="916">
        <f>'ADU-12'!$B$17</f>
        <v>1350000</v>
      </c>
      <c r="I44" s="915" t="str">
        <f>'ADU-12'!$B$7</f>
        <v>Néant</v>
      </c>
      <c r="J44" s="916">
        <f>'ADU-12'!$B$18</f>
        <v>0</v>
      </c>
      <c r="K44" s="916">
        <f>'ADU-12'!$B$21</f>
        <v>225000</v>
      </c>
      <c r="L44" s="916">
        <f>'ADU-12'!$B$22</f>
        <v>0</v>
      </c>
      <c r="M44" s="917">
        <f>'ADU-12'!$B$24</f>
        <v>6</v>
      </c>
      <c r="N44" s="918">
        <f>'ADU-12'!$B$25</f>
        <v>249.3</v>
      </c>
      <c r="O44" s="919">
        <f t="shared" si="243"/>
        <v>0.18466666666666667</v>
      </c>
      <c r="P44" s="920" t="str">
        <f>'ADU-12'!$B$5</f>
        <v>A faire</v>
      </c>
      <c r="Q44" s="921">
        <f>'ADU-12'!$B$16</f>
        <v>2030</v>
      </c>
      <c r="R44" s="922" t="str">
        <f t="shared" si="244"/>
        <v/>
      </c>
      <c r="S44" s="923">
        <f t="shared" si="49"/>
        <v>0</v>
      </c>
      <c r="T44" s="923">
        <f t="shared" si="50"/>
        <v>0</v>
      </c>
      <c r="U44" s="923">
        <f t="shared" si="51"/>
        <v>0</v>
      </c>
      <c r="V44" s="923">
        <f t="shared" si="52"/>
        <v>0</v>
      </c>
      <c r="W44" s="923">
        <f t="shared" si="53"/>
        <v>0</v>
      </c>
      <c r="X44" s="923">
        <f t="shared" si="54"/>
        <v>0</v>
      </c>
      <c r="Y44" s="923">
        <f t="shared" si="55"/>
        <v>0</v>
      </c>
      <c r="AA44" s="923">
        <f t="shared" si="56"/>
        <v>0</v>
      </c>
      <c r="AB44" s="923">
        <f t="shared" si="57"/>
        <v>0</v>
      </c>
      <c r="AC44" s="923">
        <f t="shared" si="58"/>
        <v>0</v>
      </c>
      <c r="AD44" s="923">
        <f t="shared" si="59"/>
        <v>0</v>
      </c>
      <c r="AE44" s="923">
        <f t="shared" si="60"/>
        <v>0</v>
      </c>
      <c r="AF44" s="923">
        <f t="shared" si="61"/>
        <v>0</v>
      </c>
      <c r="AG44" s="923">
        <f t="shared" si="62"/>
        <v>0</v>
      </c>
      <c r="AI44" s="923">
        <f t="shared" si="63"/>
        <v>0</v>
      </c>
      <c r="AJ44" s="923">
        <f t="shared" si="64"/>
        <v>0</v>
      </c>
      <c r="AK44" s="923">
        <f t="shared" si="65"/>
        <v>0</v>
      </c>
      <c r="AL44" s="923">
        <f t="shared" si="66"/>
        <v>0</v>
      </c>
      <c r="AM44" s="923">
        <f t="shared" si="67"/>
        <v>0</v>
      </c>
      <c r="AN44" s="923">
        <f t="shared" si="68"/>
        <v>0</v>
      </c>
      <c r="AO44" s="923">
        <f t="shared" si="69"/>
        <v>0</v>
      </c>
      <c r="AQ44" s="923">
        <f t="shared" si="70"/>
        <v>0</v>
      </c>
      <c r="AR44" s="923">
        <f t="shared" si="71"/>
        <v>0</v>
      </c>
      <c r="AS44" s="923">
        <f t="shared" si="72"/>
        <v>0</v>
      </c>
      <c r="AT44" s="923">
        <f t="shared" si="73"/>
        <v>0</v>
      </c>
      <c r="AU44" s="923">
        <f t="shared" si="74"/>
        <v>0</v>
      </c>
      <c r="AV44" s="923">
        <f t="shared" si="75"/>
        <v>0</v>
      </c>
      <c r="AW44" s="923">
        <f t="shared" si="76"/>
        <v>0</v>
      </c>
      <c r="AY44" s="923">
        <f t="shared" si="77"/>
        <v>0</v>
      </c>
      <c r="AZ44" s="923">
        <f t="shared" si="78"/>
        <v>0</v>
      </c>
      <c r="BA44" s="923">
        <f t="shared" si="79"/>
        <v>0</v>
      </c>
      <c r="BB44" s="923">
        <f t="shared" si="80"/>
        <v>0</v>
      </c>
      <c r="BC44" s="923">
        <f t="shared" si="81"/>
        <v>0</v>
      </c>
      <c r="BD44" s="923">
        <f t="shared" si="82"/>
        <v>0</v>
      </c>
      <c r="BE44" s="923">
        <f t="shared" si="83"/>
        <v>0</v>
      </c>
      <c r="BG44" s="923">
        <f t="shared" si="84"/>
        <v>0</v>
      </c>
      <c r="BH44" s="923">
        <f t="shared" si="85"/>
        <v>0</v>
      </c>
      <c r="BI44" s="923">
        <f t="shared" si="86"/>
        <v>0</v>
      </c>
      <c r="BJ44" s="923">
        <f t="shared" si="87"/>
        <v>0</v>
      </c>
      <c r="BK44" s="925">
        <f t="shared" si="245"/>
        <v>0</v>
      </c>
      <c r="BL44" s="923">
        <f t="shared" si="88"/>
        <v>0</v>
      </c>
      <c r="BN44" s="923">
        <f t="shared" si="89"/>
        <v>0</v>
      </c>
      <c r="BO44" s="923">
        <f t="shared" si="90"/>
        <v>0</v>
      </c>
      <c r="BP44" s="923">
        <f t="shared" si="91"/>
        <v>0</v>
      </c>
      <c r="BQ44" s="923">
        <f t="shared" si="92"/>
        <v>0</v>
      </c>
      <c r="BR44" s="925">
        <f t="shared" si="246"/>
        <v>0</v>
      </c>
      <c r="BS44" s="923">
        <f t="shared" si="93"/>
        <v>0</v>
      </c>
    </row>
    <row r="45" spans="1:85" s="924" customFormat="1" ht="18" customHeight="1" x14ac:dyDescent="0.25">
      <c r="A45" s="913" t="s">
        <v>84</v>
      </c>
      <c r="B45" s="913" t="str">
        <f>'ADU-13'!B$3:E$3</f>
        <v>Performance énergétique</v>
      </c>
      <c r="C45" s="914" t="str">
        <f>'ADU-13'!$B$8</f>
        <v xml:space="preserve">Logements </v>
      </c>
      <c r="D45" s="915" t="str">
        <f>'ADU-13'!$B$9</f>
        <v>Chaudières à condensation</v>
      </c>
      <c r="E45" s="915" t="str">
        <f>'ADU-13'!$B$4</f>
        <v>Logement</v>
      </c>
      <c r="F45" s="915" t="str">
        <f>'ADU-13'!$B$12</f>
        <v>Citoyen</v>
      </c>
      <c r="G45" s="915" t="str">
        <f>'ADU-13'!$B$6</f>
        <v>Fonds propres</v>
      </c>
      <c r="H45" s="916">
        <f>'ADU-13'!$B$17</f>
        <v>1000000</v>
      </c>
      <c r="I45" s="915" t="str">
        <f>'ADU-13'!$B$7</f>
        <v>Néant</v>
      </c>
      <c r="J45" s="916">
        <f>'ADU-13'!$B$18</f>
        <v>0</v>
      </c>
      <c r="K45" s="916">
        <f>'ADU-13'!$B$21</f>
        <v>20983.42108636854</v>
      </c>
      <c r="L45" s="916">
        <f>'ADU-13'!$B$22</f>
        <v>0</v>
      </c>
      <c r="M45" s="917">
        <f>'ADU-13'!$B$24</f>
        <v>47.656671230299523</v>
      </c>
      <c r="N45" s="918">
        <f>'ADU-13'!$B$25</f>
        <v>80.396479076629177</v>
      </c>
      <c r="O45" s="919">
        <f t="shared" si="243"/>
        <v>8.0396479076629182E-2</v>
      </c>
      <c r="P45" s="920" t="str">
        <f>'ADU-13'!$B$5</f>
        <v>A faire</v>
      </c>
      <c r="Q45" s="921">
        <f>'ADU-13'!$B$16</f>
        <v>2030</v>
      </c>
      <c r="R45" s="922" t="str">
        <f t="shared" si="244"/>
        <v/>
      </c>
      <c r="S45" s="923">
        <f t="shared" si="49"/>
        <v>0</v>
      </c>
      <c r="T45" s="923">
        <f t="shared" si="50"/>
        <v>0</v>
      </c>
      <c r="U45" s="923">
        <f t="shared" si="51"/>
        <v>0</v>
      </c>
      <c r="V45" s="923">
        <f t="shared" si="52"/>
        <v>0</v>
      </c>
      <c r="W45" s="923">
        <f t="shared" si="53"/>
        <v>0</v>
      </c>
      <c r="X45" s="923">
        <f t="shared" si="54"/>
        <v>0</v>
      </c>
      <c r="Y45" s="923">
        <f t="shared" si="55"/>
        <v>0</v>
      </c>
      <c r="AA45" s="923">
        <f t="shared" si="56"/>
        <v>0</v>
      </c>
      <c r="AB45" s="923">
        <f t="shared" si="57"/>
        <v>0</v>
      </c>
      <c r="AC45" s="923">
        <f t="shared" si="58"/>
        <v>0</v>
      </c>
      <c r="AD45" s="923">
        <f t="shared" si="59"/>
        <v>0</v>
      </c>
      <c r="AE45" s="923">
        <f t="shared" si="60"/>
        <v>0</v>
      </c>
      <c r="AF45" s="923">
        <f t="shared" si="61"/>
        <v>0</v>
      </c>
      <c r="AG45" s="923">
        <f t="shared" si="62"/>
        <v>0</v>
      </c>
      <c r="AI45" s="923">
        <f t="shared" si="63"/>
        <v>0</v>
      </c>
      <c r="AJ45" s="923">
        <f t="shared" si="64"/>
        <v>0</v>
      </c>
      <c r="AK45" s="923">
        <f t="shared" si="65"/>
        <v>0</v>
      </c>
      <c r="AL45" s="923">
        <f t="shared" si="66"/>
        <v>0</v>
      </c>
      <c r="AM45" s="923">
        <f t="shared" si="67"/>
        <v>0</v>
      </c>
      <c r="AN45" s="923">
        <f t="shared" si="68"/>
        <v>0</v>
      </c>
      <c r="AO45" s="923">
        <f t="shared" si="69"/>
        <v>0</v>
      </c>
      <c r="AQ45" s="923">
        <f t="shared" si="70"/>
        <v>0</v>
      </c>
      <c r="AR45" s="923">
        <f t="shared" si="71"/>
        <v>0</v>
      </c>
      <c r="AS45" s="923">
        <f t="shared" si="72"/>
        <v>0</v>
      </c>
      <c r="AT45" s="923">
        <f t="shared" si="73"/>
        <v>0</v>
      </c>
      <c r="AU45" s="923">
        <f t="shared" si="74"/>
        <v>0</v>
      </c>
      <c r="AV45" s="923">
        <f t="shared" si="75"/>
        <v>0</v>
      </c>
      <c r="AW45" s="923">
        <f t="shared" si="76"/>
        <v>0</v>
      </c>
      <c r="AY45" s="923">
        <f t="shared" si="77"/>
        <v>0</v>
      </c>
      <c r="AZ45" s="923">
        <f t="shared" si="78"/>
        <v>0</v>
      </c>
      <c r="BA45" s="923">
        <f t="shared" si="79"/>
        <v>0</v>
      </c>
      <c r="BB45" s="923">
        <f t="shared" si="80"/>
        <v>0</v>
      </c>
      <c r="BC45" s="923">
        <f t="shared" si="81"/>
        <v>0</v>
      </c>
      <c r="BD45" s="923">
        <f t="shared" si="82"/>
        <v>0</v>
      </c>
      <c r="BE45" s="923">
        <f t="shared" si="83"/>
        <v>0</v>
      </c>
      <c r="BG45" s="923">
        <f t="shared" si="84"/>
        <v>0</v>
      </c>
      <c r="BH45" s="923">
        <f t="shared" si="85"/>
        <v>0</v>
      </c>
      <c r="BI45" s="923">
        <f t="shared" si="86"/>
        <v>0</v>
      </c>
      <c r="BJ45" s="923">
        <f t="shared" si="87"/>
        <v>0</v>
      </c>
      <c r="BK45" s="925">
        <f t="shared" si="245"/>
        <v>0</v>
      </c>
      <c r="BL45" s="923">
        <f t="shared" si="88"/>
        <v>0</v>
      </c>
      <c r="BN45" s="923">
        <f t="shared" si="89"/>
        <v>0</v>
      </c>
      <c r="BO45" s="923">
        <f t="shared" si="90"/>
        <v>0</v>
      </c>
      <c r="BP45" s="923">
        <f t="shared" si="91"/>
        <v>0</v>
      </c>
      <c r="BQ45" s="923">
        <f t="shared" si="92"/>
        <v>0</v>
      </c>
      <c r="BR45" s="925">
        <f t="shared" si="246"/>
        <v>0</v>
      </c>
      <c r="BS45" s="923">
        <f t="shared" si="93"/>
        <v>0</v>
      </c>
    </row>
    <row r="46" spans="1:85" s="924" customFormat="1" ht="18" customHeight="1" x14ac:dyDescent="0.25">
      <c r="A46" s="913" t="s">
        <v>88</v>
      </c>
      <c r="B46" s="913" t="str">
        <f>'ADU-14'!B$3:E$3</f>
        <v>Performance énergétique</v>
      </c>
      <c r="C46" s="914" t="str">
        <f>'ADU-14'!$B$8</f>
        <v xml:space="preserve">Logements </v>
      </c>
      <c r="D46" s="915" t="str">
        <f>'ADU-14'!$B$9</f>
        <v>Chaudière biomasse</v>
      </c>
      <c r="E46" s="915" t="str">
        <f>'ADU-14'!$B$4</f>
        <v>Logement</v>
      </c>
      <c r="F46" s="915" t="str">
        <f>'ADU-14'!$B$12</f>
        <v>Citoyen</v>
      </c>
      <c r="G46" s="915" t="str">
        <f>'ADU-14'!$B$6</f>
        <v>Fonds propres</v>
      </c>
      <c r="H46" s="916">
        <f>'ADU-14'!$B$17</f>
        <v>300000</v>
      </c>
      <c r="I46" s="915" t="str">
        <f>'ADU-14'!$B$7</f>
        <v>Primes RW</v>
      </c>
      <c r="J46" s="916">
        <f>'ADU-14'!$B$18</f>
        <v>16000</v>
      </c>
      <c r="K46" s="916">
        <f>'ADU-14'!$B$21</f>
        <v>20983.42108636854</v>
      </c>
      <c r="L46" s="916">
        <f>'ADU-14'!$B$22</f>
        <v>0</v>
      </c>
      <c r="M46" s="917">
        <f>'ADU-14'!$B$24</f>
        <v>13.534494629405065</v>
      </c>
      <c r="N46" s="918">
        <f>'ADU-14'!$B$25</f>
        <v>80.396479076629177</v>
      </c>
      <c r="O46" s="919">
        <f t="shared" si="243"/>
        <v>0.28308619393179285</v>
      </c>
      <c r="P46" s="920" t="str">
        <f>'ADU-14'!$B$5</f>
        <v>A faire</v>
      </c>
      <c r="Q46" s="921">
        <f>'ADU-14'!$B$16</f>
        <v>2030</v>
      </c>
      <c r="R46" s="922" t="str">
        <f t="shared" si="244"/>
        <v/>
      </c>
      <c r="S46" s="923">
        <f t="shared" si="49"/>
        <v>0</v>
      </c>
      <c r="T46" s="923">
        <f t="shared" si="50"/>
        <v>0</v>
      </c>
      <c r="U46" s="923">
        <f t="shared" si="51"/>
        <v>0</v>
      </c>
      <c r="V46" s="923">
        <f t="shared" si="52"/>
        <v>0</v>
      </c>
      <c r="W46" s="923">
        <f t="shared" si="53"/>
        <v>0</v>
      </c>
      <c r="X46" s="923">
        <f t="shared" si="54"/>
        <v>0</v>
      </c>
      <c r="Y46" s="923">
        <f t="shared" si="55"/>
        <v>0</v>
      </c>
      <c r="AA46" s="923">
        <f t="shared" si="56"/>
        <v>0</v>
      </c>
      <c r="AB46" s="923">
        <f t="shared" si="57"/>
        <v>0</v>
      </c>
      <c r="AC46" s="923">
        <f t="shared" si="58"/>
        <v>0</v>
      </c>
      <c r="AD46" s="923">
        <f t="shared" si="59"/>
        <v>0</v>
      </c>
      <c r="AE46" s="923">
        <f t="shared" si="60"/>
        <v>0</v>
      </c>
      <c r="AF46" s="923">
        <f t="shared" si="61"/>
        <v>0</v>
      </c>
      <c r="AG46" s="923">
        <f t="shared" si="62"/>
        <v>0</v>
      </c>
      <c r="AI46" s="923">
        <f t="shared" si="63"/>
        <v>0</v>
      </c>
      <c r="AJ46" s="923">
        <f t="shared" si="64"/>
        <v>0</v>
      </c>
      <c r="AK46" s="923">
        <f t="shared" si="65"/>
        <v>0</v>
      </c>
      <c r="AL46" s="923">
        <f t="shared" si="66"/>
        <v>0</v>
      </c>
      <c r="AM46" s="923">
        <f t="shared" si="67"/>
        <v>0</v>
      </c>
      <c r="AN46" s="923">
        <f t="shared" si="68"/>
        <v>0</v>
      </c>
      <c r="AO46" s="923">
        <f t="shared" si="69"/>
        <v>0</v>
      </c>
      <c r="AQ46" s="923">
        <f t="shared" si="70"/>
        <v>0</v>
      </c>
      <c r="AR46" s="923">
        <f t="shared" si="71"/>
        <v>0</v>
      </c>
      <c r="AS46" s="923">
        <f t="shared" si="72"/>
        <v>0</v>
      </c>
      <c r="AT46" s="923">
        <f t="shared" si="73"/>
        <v>0</v>
      </c>
      <c r="AU46" s="923">
        <f t="shared" si="74"/>
        <v>0</v>
      </c>
      <c r="AV46" s="923">
        <f t="shared" si="75"/>
        <v>0</v>
      </c>
      <c r="AW46" s="923">
        <f t="shared" si="76"/>
        <v>0</v>
      </c>
      <c r="AY46" s="923">
        <f t="shared" si="77"/>
        <v>0</v>
      </c>
      <c r="AZ46" s="923">
        <f t="shared" si="78"/>
        <v>0</v>
      </c>
      <c r="BA46" s="923">
        <f t="shared" si="79"/>
        <v>0</v>
      </c>
      <c r="BB46" s="923">
        <f t="shared" si="80"/>
        <v>0</v>
      </c>
      <c r="BC46" s="923">
        <f t="shared" si="81"/>
        <v>0</v>
      </c>
      <c r="BD46" s="923">
        <f t="shared" si="82"/>
        <v>0</v>
      </c>
      <c r="BE46" s="923">
        <f t="shared" si="83"/>
        <v>0</v>
      </c>
      <c r="BG46" s="923">
        <f t="shared" si="84"/>
        <v>0</v>
      </c>
      <c r="BH46" s="923">
        <f t="shared" si="85"/>
        <v>0</v>
      </c>
      <c r="BI46" s="923">
        <f t="shared" si="86"/>
        <v>0</v>
      </c>
      <c r="BJ46" s="923">
        <f t="shared" si="87"/>
        <v>0</v>
      </c>
      <c r="BK46" s="925">
        <f t="shared" si="245"/>
        <v>0</v>
      </c>
      <c r="BL46" s="923">
        <f t="shared" si="88"/>
        <v>0</v>
      </c>
      <c r="BN46" s="923">
        <f t="shared" si="89"/>
        <v>0</v>
      </c>
      <c r="BO46" s="923">
        <f t="shared" si="90"/>
        <v>0</v>
      </c>
      <c r="BP46" s="923">
        <f t="shared" si="91"/>
        <v>0</v>
      </c>
      <c r="BQ46" s="923">
        <f t="shared" si="92"/>
        <v>0</v>
      </c>
      <c r="BR46" s="925">
        <f t="shared" si="246"/>
        <v>0</v>
      </c>
      <c r="BS46" s="923">
        <f t="shared" si="93"/>
        <v>0</v>
      </c>
    </row>
    <row r="47" spans="1:85" s="924" customFormat="1" ht="18" customHeight="1" x14ac:dyDescent="0.25">
      <c r="A47" s="913" t="s">
        <v>89</v>
      </c>
      <c r="B47" s="913" t="str">
        <f>'ADU-15'!B$3:E$3</f>
        <v>Performance énergétique</v>
      </c>
      <c r="C47" s="914" t="str">
        <f>'ADU-15'!$B$8</f>
        <v xml:space="preserve">Logements </v>
      </c>
      <c r="D47" s="915" t="str">
        <f>'ADU-15'!$B$9</f>
        <v xml:space="preserve"> Chauffage d'appoint biomasse</v>
      </c>
      <c r="E47" s="915" t="str">
        <f>'ADU-15'!$B$4</f>
        <v>Logement</v>
      </c>
      <c r="F47" s="915" t="str">
        <f>'ADU-15'!$B$12</f>
        <v>Citoyen</v>
      </c>
      <c r="G47" s="915" t="str">
        <f>'ADU-15'!$B$6</f>
        <v>Fonds propres</v>
      </c>
      <c r="H47" s="916">
        <f>'ADU-15'!$B$17</f>
        <v>2500000</v>
      </c>
      <c r="I47" s="915" t="str">
        <f>'ADU-15'!$B$7</f>
        <v>Primes RW</v>
      </c>
      <c r="J47" s="916">
        <f>'ADU-15'!$B$18</f>
        <v>400000</v>
      </c>
      <c r="K47" s="916">
        <f>'ADU-15'!$B$21</f>
        <v>496999.99999999994</v>
      </c>
      <c r="L47" s="916">
        <f>'ADU-15'!$B$22</f>
        <v>0</v>
      </c>
      <c r="M47" s="917">
        <f>'ADU-15'!$B$24</f>
        <v>4.2253521126760569</v>
      </c>
      <c r="N47" s="918">
        <f>'ADU-15'!$B$25</f>
        <v>1904.22</v>
      </c>
      <c r="O47" s="919">
        <f t="shared" si="243"/>
        <v>0.90677142857142856</v>
      </c>
      <c r="P47" s="920" t="str">
        <f>'ADU-15'!$B$5</f>
        <v>A faire</v>
      </c>
      <c r="Q47" s="921">
        <f>'ADU-15'!$B$16</f>
        <v>2030</v>
      </c>
      <c r="R47" s="922" t="str">
        <f t="shared" si="244"/>
        <v/>
      </c>
      <c r="S47" s="923">
        <f t="shared" si="49"/>
        <v>0</v>
      </c>
      <c r="T47" s="923">
        <f t="shared" si="50"/>
        <v>0</v>
      </c>
      <c r="U47" s="923">
        <f t="shared" si="51"/>
        <v>0</v>
      </c>
      <c r="V47" s="923">
        <f t="shared" si="52"/>
        <v>0</v>
      </c>
      <c r="W47" s="923">
        <f t="shared" si="53"/>
        <v>0</v>
      </c>
      <c r="X47" s="923">
        <f t="shared" si="54"/>
        <v>0</v>
      </c>
      <c r="Y47" s="923">
        <f t="shared" si="55"/>
        <v>0</v>
      </c>
      <c r="AA47" s="923">
        <f t="shared" si="56"/>
        <v>0</v>
      </c>
      <c r="AB47" s="923">
        <f t="shared" si="57"/>
        <v>0</v>
      </c>
      <c r="AC47" s="923">
        <f t="shared" si="58"/>
        <v>0</v>
      </c>
      <c r="AD47" s="923">
        <f t="shared" si="59"/>
        <v>0</v>
      </c>
      <c r="AE47" s="923">
        <f t="shared" si="60"/>
        <v>0</v>
      </c>
      <c r="AF47" s="923">
        <f t="shared" si="61"/>
        <v>0</v>
      </c>
      <c r="AG47" s="923">
        <f t="shared" si="62"/>
        <v>0</v>
      </c>
      <c r="AI47" s="923">
        <f t="shared" si="63"/>
        <v>0</v>
      </c>
      <c r="AJ47" s="923">
        <f t="shared" si="64"/>
        <v>0</v>
      </c>
      <c r="AK47" s="923">
        <f t="shared" si="65"/>
        <v>0</v>
      </c>
      <c r="AL47" s="923">
        <f t="shared" si="66"/>
        <v>0</v>
      </c>
      <c r="AM47" s="923">
        <f t="shared" si="67"/>
        <v>0</v>
      </c>
      <c r="AN47" s="923">
        <f t="shared" si="68"/>
        <v>0</v>
      </c>
      <c r="AO47" s="923">
        <f t="shared" si="69"/>
        <v>0</v>
      </c>
      <c r="AQ47" s="923">
        <f t="shared" si="70"/>
        <v>0</v>
      </c>
      <c r="AR47" s="923">
        <f t="shared" si="71"/>
        <v>0</v>
      </c>
      <c r="AS47" s="923">
        <f t="shared" si="72"/>
        <v>0</v>
      </c>
      <c r="AT47" s="923">
        <f t="shared" si="73"/>
        <v>0</v>
      </c>
      <c r="AU47" s="923">
        <f t="shared" si="74"/>
        <v>0</v>
      </c>
      <c r="AV47" s="923">
        <f t="shared" si="75"/>
        <v>0</v>
      </c>
      <c r="AW47" s="923">
        <f t="shared" si="76"/>
        <v>0</v>
      </c>
      <c r="AY47" s="923">
        <f t="shared" si="77"/>
        <v>0</v>
      </c>
      <c r="AZ47" s="923">
        <f t="shared" si="78"/>
        <v>0</v>
      </c>
      <c r="BA47" s="923">
        <f t="shared" si="79"/>
        <v>0</v>
      </c>
      <c r="BB47" s="923">
        <f t="shared" si="80"/>
        <v>0</v>
      </c>
      <c r="BC47" s="923">
        <f t="shared" si="81"/>
        <v>0</v>
      </c>
      <c r="BD47" s="923">
        <f t="shared" si="82"/>
        <v>0</v>
      </c>
      <c r="BE47" s="923">
        <f t="shared" si="83"/>
        <v>0</v>
      </c>
      <c r="BG47" s="923">
        <f t="shared" si="84"/>
        <v>0</v>
      </c>
      <c r="BH47" s="923">
        <f t="shared" si="85"/>
        <v>0</v>
      </c>
      <c r="BI47" s="923">
        <f t="shared" si="86"/>
        <v>0</v>
      </c>
      <c r="BJ47" s="923">
        <f t="shared" si="87"/>
        <v>0</v>
      </c>
      <c r="BK47" s="925">
        <f t="shared" si="245"/>
        <v>0</v>
      </c>
      <c r="BL47" s="923">
        <f t="shared" si="88"/>
        <v>0</v>
      </c>
      <c r="BN47" s="923">
        <f t="shared" si="89"/>
        <v>0</v>
      </c>
      <c r="BO47" s="923">
        <f t="shared" si="90"/>
        <v>0</v>
      </c>
      <c r="BP47" s="923">
        <f t="shared" si="91"/>
        <v>0</v>
      </c>
      <c r="BQ47" s="923">
        <f t="shared" si="92"/>
        <v>0</v>
      </c>
      <c r="BR47" s="925">
        <f t="shared" si="246"/>
        <v>0</v>
      </c>
      <c r="BS47" s="923">
        <f t="shared" si="93"/>
        <v>0</v>
      </c>
    </row>
    <row r="48" spans="1:85" s="924" customFormat="1" ht="18" customHeight="1" x14ac:dyDescent="0.25">
      <c r="A48" s="913" t="s">
        <v>90</v>
      </c>
      <c r="B48" s="913" t="str">
        <f>'ADU-16'!B$3:E$3</f>
        <v>Performance énergétique</v>
      </c>
      <c r="C48" s="914" t="str">
        <f>'ADU-16'!$B$8</f>
        <v>Logement</v>
      </c>
      <c r="D48" s="915" t="str">
        <f>'ADU-16'!$B$9</f>
        <v>Pompes à chaleur GEO</v>
      </c>
      <c r="E48" s="915" t="str">
        <f>'ADU-16'!$B$4</f>
        <v>Logement</v>
      </c>
      <c r="F48" s="915" t="str">
        <f>'ADU-16'!$B$12</f>
        <v>Citoyen</v>
      </c>
      <c r="G48" s="915" t="str">
        <f>'ADU-16'!$B$6</f>
        <v>ECOPÄCK</v>
      </c>
      <c r="H48" s="916">
        <f>'ADU-16'!$B$17</f>
        <v>90000</v>
      </c>
      <c r="I48" s="915" t="str">
        <f>'ADU-16'!$B$7</f>
        <v>Néant</v>
      </c>
      <c r="J48" s="916">
        <f>'ADU-16'!$B$18</f>
        <v>0</v>
      </c>
      <c r="K48" s="916">
        <f>'ADU-16'!$B$21</f>
        <v>2100</v>
      </c>
      <c r="L48" s="916">
        <f>'ADU-16'!$B$22</f>
        <v>0</v>
      </c>
      <c r="M48" s="917">
        <f>'ADU-16'!$B$24</f>
        <v>9.5238095238095237</v>
      </c>
      <c r="N48" s="918">
        <f>'ADU-16'!$B$25</f>
        <v>7.2556521739130435</v>
      </c>
      <c r="O48" s="919">
        <f t="shared" si="243"/>
        <v>8.0618357487922704E-2</v>
      </c>
      <c r="P48" s="920" t="str">
        <f>'ADU-16'!$B$5</f>
        <v>A faire</v>
      </c>
      <c r="Q48" s="921">
        <f>'ADU-16'!$B$16</f>
        <v>2030</v>
      </c>
      <c r="R48" s="922" t="str">
        <f t="shared" si="244"/>
        <v/>
      </c>
      <c r="S48" s="923">
        <f t="shared" si="49"/>
        <v>0</v>
      </c>
      <c r="T48" s="923">
        <f t="shared" si="50"/>
        <v>0</v>
      </c>
      <c r="U48" s="923">
        <f t="shared" si="51"/>
        <v>0</v>
      </c>
      <c r="V48" s="923">
        <f t="shared" si="52"/>
        <v>0</v>
      </c>
      <c r="W48" s="923">
        <f t="shared" si="53"/>
        <v>0</v>
      </c>
      <c r="X48" s="923">
        <f t="shared" si="54"/>
        <v>0</v>
      </c>
      <c r="Y48" s="923">
        <f t="shared" si="55"/>
        <v>0</v>
      </c>
      <c r="AA48" s="923">
        <f t="shared" si="56"/>
        <v>0</v>
      </c>
      <c r="AB48" s="923">
        <f t="shared" si="57"/>
        <v>0</v>
      </c>
      <c r="AC48" s="923">
        <f t="shared" si="58"/>
        <v>0</v>
      </c>
      <c r="AD48" s="923">
        <f t="shared" si="59"/>
        <v>0</v>
      </c>
      <c r="AE48" s="923">
        <f t="shared" si="60"/>
        <v>0</v>
      </c>
      <c r="AF48" s="923">
        <f t="shared" si="61"/>
        <v>0</v>
      </c>
      <c r="AG48" s="923">
        <f t="shared" si="62"/>
        <v>0</v>
      </c>
      <c r="AI48" s="923">
        <f t="shared" si="63"/>
        <v>0</v>
      </c>
      <c r="AJ48" s="923">
        <f t="shared" si="64"/>
        <v>0</v>
      </c>
      <c r="AK48" s="923">
        <f t="shared" si="65"/>
        <v>0</v>
      </c>
      <c r="AL48" s="923">
        <f t="shared" si="66"/>
        <v>0</v>
      </c>
      <c r="AM48" s="923">
        <f t="shared" si="67"/>
        <v>0</v>
      </c>
      <c r="AN48" s="923">
        <f t="shared" si="68"/>
        <v>0</v>
      </c>
      <c r="AO48" s="923">
        <f t="shared" si="69"/>
        <v>0</v>
      </c>
      <c r="AQ48" s="923">
        <f t="shared" si="70"/>
        <v>0</v>
      </c>
      <c r="AR48" s="923">
        <f t="shared" si="71"/>
        <v>0</v>
      </c>
      <c r="AS48" s="923">
        <f t="shared" si="72"/>
        <v>0</v>
      </c>
      <c r="AT48" s="923">
        <f t="shared" si="73"/>
        <v>0</v>
      </c>
      <c r="AU48" s="923">
        <f t="shared" si="74"/>
        <v>0</v>
      </c>
      <c r="AV48" s="923">
        <f t="shared" si="75"/>
        <v>0</v>
      </c>
      <c r="AW48" s="923">
        <f t="shared" si="76"/>
        <v>0</v>
      </c>
      <c r="AY48" s="923">
        <f t="shared" si="77"/>
        <v>0</v>
      </c>
      <c r="AZ48" s="923">
        <f t="shared" si="78"/>
        <v>0</v>
      </c>
      <c r="BA48" s="923">
        <f t="shared" si="79"/>
        <v>0</v>
      </c>
      <c r="BB48" s="923">
        <f t="shared" si="80"/>
        <v>0</v>
      </c>
      <c r="BC48" s="923">
        <f t="shared" si="81"/>
        <v>0</v>
      </c>
      <c r="BD48" s="923">
        <f t="shared" si="82"/>
        <v>0</v>
      </c>
      <c r="BE48" s="923">
        <f t="shared" si="83"/>
        <v>0</v>
      </c>
      <c r="BG48" s="923">
        <f t="shared" si="84"/>
        <v>0</v>
      </c>
      <c r="BH48" s="923">
        <f t="shared" si="85"/>
        <v>0</v>
      </c>
      <c r="BI48" s="923">
        <f t="shared" si="86"/>
        <v>0</v>
      </c>
      <c r="BJ48" s="923">
        <f t="shared" si="87"/>
        <v>0</v>
      </c>
      <c r="BK48" s="925">
        <f t="shared" si="245"/>
        <v>0</v>
      </c>
      <c r="BL48" s="923">
        <f t="shared" si="88"/>
        <v>0</v>
      </c>
      <c r="BN48" s="923">
        <f t="shared" si="89"/>
        <v>0</v>
      </c>
      <c r="BO48" s="923">
        <f t="shared" si="90"/>
        <v>0</v>
      </c>
      <c r="BP48" s="923">
        <f t="shared" si="91"/>
        <v>0</v>
      </c>
      <c r="BQ48" s="923">
        <f t="shared" si="92"/>
        <v>0</v>
      </c>
      <c r="BR48" s="925">
        <f t="shared" si="246"/>
        <v>0</v>
      </c>
      <c r="BS48" s="923">
        <f t="shared" si="93"/>
        <v>0</v>
      </c>
      <c r="BT48" s="939"/>
      <c r="BU48" s="939"/>
      <c r="BV48" s="939"/>
      <c r="BW48" s="939"/>
      <c r="BX48" s="939"/>
      <c r="BY48" s="939"/>
      <c r="BZ48" s="939"/>
      <c r="CA48" s="939"/>
      <c r="CB48" s="939"/>
      <c r="CC48" s="939"/>
      <c r="CD48" s="939"/>
      <c r="CE48" s="939"/>
      <c r="CF48" s="939"/>
      <c r="CG48" s="939"/>
    </row>
    <row r="49" spans="1:85" s="924" customFormat="1" ht="18" customHeight="1" x14ac:dyDescent="0.25">
      <c r="A49" s="913" t="s">
        <v>91</v>
      </c>
      <c r="B49" s="913" t="str">
        <f>'ADU-17'!B$3:E$3</f>
        <v>Performance énergétique</v>
      </c>
      <c r="C49" s="914" t="str">
        <f>'ADU-17'!$B$8</f>
        <v>Logement</v>
      </c>
      <c r="D49" s="915" t="str">
        <f>'ADU-17'!$B$9</f>
        <v>Pompes à chaleur A-A</v>
      </c>
      <c r="E49" s="915" t="str">
        <f>'ADU-17'!$B$4</f>
        <v>Logement</v>
      </c>
      <c r="F49" s="915" t="str">
        <f>'ADU-17'!$B$12</f>
        <v>Citoyen</v>
      </c>
      <c r="G49" s="915" t="str">
        <f>'ADU-17'!$B$6</f>
        <v>ECOPÄCK</v>
      </c>
      <c r="H49" s="916">
        <f>'ADU-17'!$B$17</f>
        <v>55000</v>
      </c>
      <c r="I49" s="915" t="str">
        <f>'ADU-17'!$B$7</f>
        <v>Néant</v>
      </c>
      <c r="J49" s="916">
        <f>'ADU-17'!$B$18</f>
        <v>0</v>
      </c>
      <c r="K49" s="916">
        <f>'ADU-17'!$B$21</f>
        <v>3365.2173913043475</v>
      </c>
      <c r="L49" s="916">
        <f>'ADU-17'!$B$22</f>
        <v>0</v>
      </c>
      <c r="M49" s="917">
        <f>'ADU-17'!$B$24</f>
        <v>2.9715762273901811</v>
      </c>
      <c r="N49" s="918">
        <f>'ADU-17'!$B$25</f>
        <v>12.8935900621118</v>
      </c>
      <c r="O49" s="919">
        <f t="shared" si="243"/>
        <v>0.23442891022021453</v>
      </c>
      <c r="P49" s="920" t="str">
        <f>'ADU-17'!$B$5</f>
        <v>A faire</v>
      </c>
      <c r="Q49" s="921">
        <f>'ADU-17'!$B$16</f>
        <v>2030</v>
      </c>
      <c r="R49" s="922" t="str">
        <f t="shared" si="244"/>
        <v/>
      </c>
      <c r="S49" s="923">
        <f t="shared" si="49"/>
        <v>0</v>
      </c>
      <c r="T49" s="923">
        <f t="shared" si="50"/>
        <v>0</v>
      </c>
      <c r="U49" s="923">
        <f t="shared" si="51"/>
        <v>0</v>
      </c>
      <c r="V49" s="923">
        <f t="shared" si="52"/>
        <v>0</v>
      </c>
      <c r="W49" s="923">
        <f t="shared" si="53"/>
        <v>0</v>
      </c>
      <c r="X49" s="923">
        <f t="shared" si="54"/>
        <v>0</v>
      </c>
      <c r="Y49" s="923">
        <f t="shared" si="55"/>
        <v>0</v>
      </c>
      <c r="AA49" s="923">
        <f t="shared" si="56"/>
        <v>0</v>
      </c>
      <c r="AB49" s="923">
        <f t="shared" si="57"/>
        <v>0</v>
      </c>
      <c r="AC49" s="923">
        <f t="shared" si="58"/>
        <v>0</v>
      </c>
      <c r="AD49" s="923">
        <f t="shared" si="59"/>
        <v>0</v>
      </c>
      <c r="AE49" s="923">
        <f t="shared" si="60"/>
        <v>0</v>
      </c>
      <c r="AF49" s="923">
        <f t="shared" si="61"/>
        <v>0</v>
      </c>
      <c r="AG49" s="923">
        <f t="shared" si="62"/>
        <v>0</v>
      </c>
      <c r="AI49" s="923">
        <f t="shared" si="63"/>
        <v>0</v>
      </c>
      <c r="AJ49" s="923">
        <f t="shared" si="64"/>
        <v>0</v>
      </c>
      <c r="AK49" s="923">
        <f t="shared" si="65"/>
        <v>0</v>
      </c>
      <c r="AL49" s="923">
        <f t="shared" si="66"/>
        <v>0</v>
      </c>
      <c r="AM49" s="923">
        <f t="shared" si="67"/>
        <v>0</v>
      </c>
      <c r="AN49" s="923">
        <f t="shared" si="68"/>
        <v>0</v>
      </c>
      <c r="AO49" s="923">
        <f t="shared" si="69"/>
        <v>0</v>
      </c>
      <c r="AQ49" s="923">
        <f t="shared" si="70"/>
        <v>0</v>
      </c>
      <c r="AR49" s="923">
        <f t="shared" si="71"/>
        <v>0</v>
      </c>
      <c r="AS49" s="923">
        <f t="shared" si="72"/>
        <v>0</v>
      </c>
      <c r="AT49" s="923">
        <f t="shared" si="73"/>
        <v>0</v>
      </c>
      <c r="AU49" s="923">
        <f t="shared" si="74"/>
        <v>0</v>
      </c>
      <c r="AV49" s="923">
        <f t="shared" si="75"/>
        <v>0</v>
      </c>
      <c r="AW49" s="923">
        <f t="shared" si="76"/>
        <v>0</v>
      </c>
      <c r="AY49" s="923">
        <f t="shared" si="77"/>
        <v>0</v>
      </c>
      <c r="AZ49" s="923">
        <f t="shared" si="78"/>
        <v>0</v>
      </c>
      <c r="BA49" s="923">
        <f t="shared" si="79"/>
        <v>0</v>
      </c>
      <c r="BB49" s="923">
        <f t="shared" si="80"/>
        <v>0</v>
      </c>
      <c r="BC49" s="923">
        <f t="shared" si="81"/>
        <v>0</v>
      </c>
      <c r="BD49" s="923">
        <f t="shared" si="82"/>
        <v>0</v>
      </c>
      <c r="BE49" s="923">
        <f t="shared" si="83"/>
        <v>0</v>
      </c>
      <c r="BG49" s="923">
        <f t="shared" si="84"/>
        <v>0</v>
      </c>
      <c r="BH49" s="923">
        <f t="shared" si="85"/>
        <v>0</v>
      </c>
      <c r="BI49" s="923">
        <f t="shared" si="86"/>
        <v>0</v>
      </c>
      <c r="BJ49" s="923">
        <f t="shared" si="87"/>
        <v>0</v>
      </c>
      <c r="BK49" s="925">
        <f t="shared" si="245"/>
        <v>0</v>
      </c>
      <c r="BL49" s="923">
        <f t="shared" si="88"/>
        <v>0</v>
      </c>
      <c r="BN49" s="923">
        <f t="shared" si="89"/>
        <v>0</v>
      </c>
      <c r="BO49" s="923">
        <f t="shared" si="90"/>
        <v>0</v>
      </c>
      <c r="BP49" s="923">
        <f t="shared" si="91"/>
        <v>0</v>
      </c>
      <c r="BQ49" s="923">
        <f t="shared" si="92"/>
        <v>0</v>
      </c>
      <c r="BR49" s="925">
        <f t="shared" si="246"/>
        <v>0</v>
      </c>
      <c r="BS49" s="923">
        <f t="shared" si="93"/>
        <v>0</v>
      </c>
      <c r="BT49" s="939"/>
      <c r="BU49" s="939"/>
      <c r="BV49" s="939"/>
      <c r="BW49" s="939"/>
      <c r="BX49" s="939"/>
      <c r="BY49" s="939"/>
      <c r="BZ49" s="939"/>
      <c r="CA49" s="939"/>
      <c r="CB49" s="939"/>
      <c r="CC49" s="939"/>
      <c r="CD49" s="939"/>
      <c r="CE49" s="939"/>
      <c r="CF49" s="939"/>
      <c r="CG49" s="939"/>
    </row>
    <row r="50" spans="1:85" s="924" customFormat="1" ht="18" customHeight="1" x14ac:dyDescent="0.25">
      <c r="A50" s="913" t="s">
        <v>92</v>
      </c>
      <c r="B50" s="913" t="str">
        <f>'ADU-18'!B$3:E$3</f>
        <v>Performance énergétique</v>
      </c>
      <c r="C50" s="914" t="str">
        <f>'ADU-18'!$B$8</f>
        <v>Logement</v>
      </c>
      <c r="D50" s="915" t="str">
        <f>'ADU-18'!$B$9</f>
        <v>Pompes à chaleur A-E</v>
      </c>
      <c r="E50" s="915" t="str">
        <f>'ADU-18'!$B$4</f>
        <v>Logement</v>
      </c>
      <c r="F50" s="915" t="str">
        <f>'ADU-18'!$B$12</f>
        <v>Citoyen</v>
      </c>
      <c r="G50" s="915" t="str">
        <f>'ADU-18'!$B$6</f>
        <v>ECOPÄCK</v>
      </c>
      <c r="H50" s="916">
        <f>'ADU-18'!$B$17</f>
        <v>400000</v>
      </c>
      <c r="I50" s="915" t="str">
        <f>'ADU-17'!$B$7</f>
        <v>Néant</v>
      </c>
      <c r="J50" s="916">
        <f>'ADU-18'!$B$18</f>
        <v>0</v>
      </c>
      <c r="K50" s="916">
        <f>'ADU-18'!$B$21</f>
        <v>17299.771167048053</v>
      </c>
      <c r="L50" s="916">
        <f>'ADU-18'!$B$22</f>
        <v>0</v>
      </c>
      <c r="M50" s="917">
        <f>'ADU-18'!$B$24</f>
        <v>10.115740740740742</v>
      </c>
      <c r="N50" s="918">
        <f>'ADU-18'!$B$25</f>
        <v>66.282837528604119</v>
      </c>
      <c r="O50" s="919">
        <f t="shared" si="243"/>
        <v>0.1657070938215103</v>
      </c>
      <c r="P50" s="920" t="str">
        <f>'ADU-18'!$B$5</f>
        <v>A faire</v>
      </c>
      <c r="Q50" s="921">
        <f>'ADU-18'!$B$16</f>
        <v>2030</v>
      </c>
      <c r="R50" s="922" t="str">
        <f t="shared" si="244"/>
        <v/>
      </c>
      <c r="S50" s="923">
        <f t="shared" si="49"/>
        <v>0</v>
      </c>
      <c r="T50" s="923">
        <f t="shared" si="50"/>
        <v>0</v>
      </c>
      <c r="U50" s="923">
        <f t="shared" si="51"/>
        <v>0</v>
      </c>
      <c r="V50" s="923">
        <f t="shared" si="52"/>
        <v>0</v>
      </c>
      <c r="W50" s="923">
        <f t="shared" si="53"/>
        <v>0</v>
      </c>
      <c r="X50" s="923">
        <f t="shared" si="54"/>
        <v>0</v>
      </c>
      <c r="Y50" s="923">
        <f t="shared" si="55"/>
        <v>0</v>
      </c>
      <c r="AA50" s="923">
        <f t="shared" si="56"/>
        <v>0</v>
      </c>
      <c r="AB50" s="923">
        <f t="shared" si="57"/>
        <v>0</v>
      </c>
      <c r="AC50" s="923">
        <f t="shared" si="58"/>
        <v>0</v>
      </c>
      <c r="AD50" s="923">
        <f t="shared" si="59"/>
        <v>0</v>
      </c>
      <c r="AE50" s="923">
        <f t="shared" si="60"/>
        <v>0</v>
      </c>
      <c r="AF50" s="923">
        <f t="shared" si="61"/>
        <v>0</v>
      </c>
      <c r="AG50" s="923">
        <f t="shared" si="62"/>
        <v>0</v>
      </c>
      <c r="AI50" s="923">
        <f t="shared" si="63"/>
        <v>0</v>
      </c>
      <c r="AJ50" s="923">
        <f t="shared" si="64"/>
        <v>0</v>
      </c>
      <c r="AK50" s="923">
        <f t="shared" si="65"/>
        <v>0</v>
      </c>
      <c r="AL50" s="923">
        <f t="shared" si="66"/>
        <v>0</v>
      </c>
      <c r="AM50" s="923">
        <f t="shared" si="67"/>
        <v>0</v>
      </c>
      <c r="AN50" s="923">
        <f t="shared" si="68"/>
        <v>0</v>
      </c>
      <c r="AO50" s="923">
        <f t="shared" si="69"/>
        <v>0</v>
      </c>
      <c r="AQ50" s="923">
        <f t="shared" si="70"/>
        <v>0</v>
      </c>
      <c r="AR50" s="923">
        <f t="shared" si="71"/>
        <v>0</v>
      </c>
      <c r="AS50" s="923">
        <f t="shared" si="72"/>
        <v>0</v>
      </c>
      <c r="AT50" s="923">
        <f t="shared" si="73"/>
        <v>0</v>
      </c>
      <c r="AU50" s="923">
        <f t="shared" si="74"/>
        <v>0</v>
      </c>
      <c r="AV50" s="923">
        <f t="shared" si="75"/>
        <v>0</v>
      </c>
      <c r="AW50" s="923">
        <f t="shared" si="76"/>
        <v>0</v>
      </c>
      <c r="AY50" s="923">
        <f t="shared" si="77"/>
        <v>0</v>
      </c>
      <c r="AZ50" s="923">
        <f t="shared" si="78"/>
        <v>0</v>
      </c>
      <c r="BA50" s="923">
        <f t="shared" si="79"/>
        <v>0</v>
      </c>
      <c r="BB50" s="923">
        <f t="shared" si="80"/>
        <v>0</v>
      </c>
      <c r="BC50" s="923">
        <f t="shared" si="81"/>
        <v>0</v>
      </c>
      <c r="BD50" s="923">
        <f t="shared" si="82"/>
        <v>0</v>
      </c>
      <c r="BE50" s="923">
        <f t="shared" si="83"/>
        <v>0</v>
      </c>
      <c r="BG50" s="923">
        <f t="shared" si="84"/>
        <v>0</v>
      </c>
      <c r="BH50" s="923">
        <f t="shared" si="85"/>
        <v>0</v>
      </c>
      <c r="BI50" s="923">
        <f t="shared" si="86"/>
        <v>0</v>
      </c>
      <c r="BJ50" s="923">
        <f t="shared" si="87"/>
        <v>0</v>
      </c>
      <c r="BK50" s="925">
        <f t="shared" si="245"/>
        <v>0</v>
      </c>
      <c r="BL50" s="923">
        <f t="shared" si="88"/>
        <v>0</v>
      </c>
      <c r="BN50" s="923">
        <f t="shared" si="89"/>
        <v>0</v>
      </c>
      <c r="BO50" s="923">
        <f t="shared" si="90"/>
        <v>0</v>
      </c>
      <c r="BP50" s="923">
        <f t="shared" si="91"/>
        <v>0</v>
      </c>
      <c r="BQ50" s="923">
        <f t="shared" si="92"/>
        <v>0</v>
      </c>
      <c r="BR50" s="925">
        <f t="shared" si="246"/>
        <v>0</v>
      </c>
      <c r="BS50" s="923">
        <f t="shared" si="93"/>
        <v>0</v>
      </c>
      <c r="BT50" s="939"/>
      <c r="BU50" s="939"/>
      <c r="BV50" s="939"/>
      <c r="BW50" s="939"/>
      <c r="BX50" s="939"/>
      <c r="BY50" s="939"/>
      <c r="BZ50" s="939"/>
      <c r="CA50" s="939"/>
      <c r="CB50" s="939"/>
      <c r="CC50" s="939"/>
      <c r="CD50" s="939"/>
      <c r="CE50" s="939"/>
      <c r="CF50" s="939"/>
      <c r="CG50" s="939"/>
    </row>
    <row r="51" spans="1:85" s="924" customFormat="1" ht="18" customHeight="1" x14ac:dyDescent="0.25">
      <c r="A51" s="913" t="s">
        <v>93</v>
      </c>
      <c r="B51" s="913" t="str">
        <f>'ADU-19'!B$3:E$3</f>
        <v>Performance énergétique</v>
      </c>
      <c r="C51" s="914" t="str">
        <f>'ADU-19'!$B$8</f>
        <v>Logement</v>
      </c>
      <c r="D51" s="915" t="str">
        <f>'ADU-19'!$B$9</f>
        <v>Pompes à chaleur A-E pour ECS</v>
      </c>
      <c r="E51" s="915" t="str">
        <f>'ADU-19'!$B$4</f>
        <v>Logement</v>
      </c>
      <c r="F51" s="915" t="str">
        <f>'ADU-19'!$B$12</f>
        <v>Citoyen</v>
      </c>
      <c r="G51" s="915" t="str">
        <f>'ADU-19'!$B$6</f>
        <v>ECOPÄCK</v>
      </c>
      <c r="H51" s="916">
        <f>'ADU-19'!$B$17</f>
        <v>700000</v>
      </c>
      <c r="I51" s="915" t="str">
        <f>'ADU-19'!$B$7</f>
        <v>Primes RW</v>
      </c>
      <c r="J51" s="916">
        <f>'ADU-19'!$B$18</f>
        <v>80000</v>
      </c>
      <c r="K51" s="916">
        <f>'ADU-19'!$B$21</f>
        <v>24796.33867276887</v>
      </c>
      <c r="L51" s="916">
        <f>'ADU-19'!$B$22</f>
        <v>0</v>
      </c>
      <c r="M51" s="917">
        <f>'ADU-19'!$B$24</f>
        <v>6.855850867478777</v>
      </c>
      <c r="N51" s="918">
        <f>'ADU-19'!$B$25</f>
        <v>77.329977116704782</v>
      </c>
      <c r="O51" s="919">
        <f t="shared" si="243"/>
        <v>0.12472576954307223</v>
      </c>
      <c r="P51" s="920" t="str">
        <f>'ADU-19'!$B$5</f>
        <v>A faire</v>
      </c>
      <c r="Q51" s="921">
        <f>'ADU-19'!$B$16</f>
        <v>2030</v>
      </c>
      <c r="R51" s="922" t="str">
        <f t="shared" si="244"/>
        <v/>
      </c>
      <c r="S51" s="923">
        <f t="shared" si="49"/>
        <v>0</v>
      </c>
      <c r="T51" s="923">
        <f t="shared" si="50"/>
        <v>0</v>
      </c>
      <c r="U51" s="923">
        <f t="shared" si="51"/>
        <v>0</v>
      </c>
      <c r="V51" s="923">
        <f t="shared" si="52"/>
        <v>0</v>
      </c>
      <c r="W51" s="923">
        <f t="shared" si="53"/>
        <v>0</v>
      </c>
      <c r="X51" s="923">
        <f t="shared" si="54"/>
        <v>0</v>
      </c>
      <c r="Y51" s="923">
        <f t="shared" si="55"/>
        <v>0</v>
      </c>
      <c r="AA51" s="923">
        <f t="shared" si="56"/>
        <v>0</v>
      </c>
      <c r="AB51" s="923">
        <f t="shared" si="57"/>
        <v>0</v>
      </c>
      <c r="AC51" s="923">
        <f t="shared" si="58"/>
        <v>0</v>
      </c>
      <c r="AD51" s="923">
        <f t="shared" si="59"/>
        <v>0</v>
      </c>
      <c r="AE51" s="923">
        <f t="shared" si="60"/>
        <v>0</v>
      </c>
      <c r="AF51" s="923">
        <f t="shared" si="61"/>
        <v>0</v>
      </c>
      <c r="AG51" s="923">
        <f t="shared" si="62"/>
        <v>0</v>
      </c>
      <c r="AI51" s="923">
        <f t="shared" si="63"/>
        <v>0</v>
      </c>
      <c r="AJ51" s="923">
        <f t="shared" si="64"/>
        <v>0</v>
      </c>
      <c r="AK51" s="923">
        <f t="shared" si="65"/>
        <v>0</v>
      </c>
      <c r="AL51" s="923">
        <f t="shared" si="66"/>
        <v>0</v>
      </c>
      <c r="AM51" s="923">
        <f t="shared" si="67"/>
        <v>0</v>
      </c>
      <c r="AN51" s="923">
        <f t="shared" si="68"/>
        <v>0</v>
      </c>
      <c r="AO51" s="923">
        <f t="shared" si="69"/>
        <v>0</v>
      </c>
      <c r="AQ51" s="923">
        <f t="shared" si="70"/>
        <v>0</v>
      </c>
      <c r="AR51" s="923">
        <f t="shared" si="71"/>
        <v>0</v>
      </c>
      <c r="AS51" s="923">
        <f t="shared" si="72"/>
        <v>0</v>
      </c>
      <c r="AT51" s="923">
        <f t="shared" si="73"/>
        <v>0</v>
      </c>
      <c r="AU51" s="923">
        <f t="shared" si="74"/>
        <v>0</v>
      </c>
      <c r="AV51" s="923">
        <f t="shared" si="75"/>
        <v>0</v>
      </c>
      <c r="AW51" s="923">
        <f t="shared" si="76"/>
        <v>0</v>
      </c>
      <c r="AY51" s="923">
        <f t="shared" si="77"/>
        <v>0</v>
      </c>
      <c r="AZ51" s="923">
        <f t="shared" si="78"/>
        <v>0</v>
      </c>
      <c r="BA51" s="923">
        <f t="shared" si="79"/>
        <v>0</v>
      </c>
      <c r="BB51" s="923">
        <f t="shared" si="80"/>
        <v>0</v>
      </c>
      <c r="BC51" s="923">
        <f t="shared" si="81"/>
        <v>0</v>
      </c>
      <c r="BD51" s="923">
        <f t="shared" si="82"/>
        <v>0</v>
      </c>
      <c r="BE51" s="923">
        <f t="shared" si="83"/>
        <v>0</v>
      </c>
      <c r="BG51" s="923">
        <f t="shared" si="84"/>
        <v>0</v>
      </c>
      <c r="BH51" s="923">
        <f t="shared" si="85"/>
        <v>0</v>
      </c>
      <c r="BI51" s="923">
        <f t="shared" si="86"/>
        <v>0</v>
      </c>
      <c r="BJ51" s="923">
        <f t="shared" si="87"/>
        <v>0</v>
      </c>
      <c r="BK51" s="925">
        <f t="shared" si="245"/>
        <v>0</v>
      </c>
      <c r="BL51" s="923">
        <f t="shared" si="88"/>
        <v>0</v>
      </c>
      <c r="BN51" s="923">
        <f t="shared" si="89"/>
        <v>0</v>
      </c>
      <c r="BO51" s="923">
        <f t="shared" si="90"/>
        <v>0</v>
      </c>
      <c r="BP51" s="923">
        <f t="shared" si="91"/>
        <v>0</v>
      </c>
      <c r="BQ51" s="923">
        <f t="shared" si="92"/>
        <v>0</v>
      </c>
      <c r="BR51" s="925">
        <f t="shared" si="246"/>
        <v>0</v>
      </c>
      <c r="BS51" s="923">
        <f t="shared" si="93"/>
        <v>0</v>
      </c>
      <c r="BT51" s="939"/>
      <c r="BU51" s="939"/>
      <c r="BV51" s="939"/>
      <c r="BW51" s="939"/>
      <c r="BX51" s="939"/>
      <c r="BY51" s="939"/>
      <c r="BZ51" s="939"/>
      <c r="CA51" s="939"/>
      <c r="CB51" s="939"/>
      <c r="CC51" s="939"/>
      <c r="CD51" s="939"/>
      <c r="CE51" s="939"/>
      <c r="CF51" s="939"/>
      <c r="CG51" s="939"/>
    </row>
    <row r="52" spans="1:85" s="288" customFormat="1" ht="18" customHeight="1" x14ac:dyDescent="0.25">
      <c r="A52" s="370" t="s">
        <v>94</v>
      </c>
      <c r="B52" s="370" t="str">
        <f>'ADU-20'!B$3:E$3</f>
        <v>Performance énergétique</v>
      </c>
      <c r="C52" s="799" t="str">
        <f>'ADU-20'!$B$8</f>
        <v>Bâtiments communaux</v>
      </c>
      <c r="D52" s="800" t="str">
        <f>'ADU-20'!$B$9</f>
        <v xml:space="preserve">Isolation </v>
      </c>
      <c r="E52" s="800" t="str">
        <f>'ADU-20'!$B$4</f>
        <v>Communal</v>
      </c>
      <c r="F52" s="800" t="str">
        <f>'ADU-20'!$B$12</f>
        <v>AC MESSANCY</v>
      </c>
      <c r="G52" s="800" t="str">
        <f>'ADU-20'!$B$6</f>
        <v>Prêt bancaire</v>
      </c>
      <c r="H52" s="801">
        <f>'ADU-20'!$B$17</f>
        <v>400000</v>
      </c>
      <c r="I52" s="800" t="str">
        <f>'ADU-20'!$B$7</f>
        <v>Subs RW</v>
      </c>
      <c r="J52" s="801">
        <f>'ADU-20'!$B$18</f>
        <v>240000</v>
      </c>
      <c r="K52" s="801">
        <f>'ADU-20'!$B$21</f>
        <v>8887.5499999999993</v>
      </c>
      <c r="L52" s="801">
        <f>'ADU-20'!$B$22</f>
        <v>0</v>
      </c>
      <c r="M52" s="802">
        <f>'ADU-20'!$B$24</f>
        <v>18.002711658443555</v>
      </c>
      <c r="N52" s="803">
        <f>'ADU-20'!$B$25</f>
        <v>34.052013000000002</v>
      </c>
      <c r="O52" s="804">
        <f t="shared" si="243"/>
        <v>0.21282508125000002</v>
      </c>
      <c r="P52" s="805" t="str">
        <f>'ADU-20'!$B$5</f>
        <v>A faire</v>
      </c>
      <c r="Q52" s="806">
        <f>'ADU-20'!$B$16</f>
        <v>2030</v>
      </c>
      <c r="R52" s="807" t="str">
        <f t="shared" si="244"/>
        <v/>
      </c>
      <c r="S52" s="287">
        <f t="shared" si="49"/>
        <v>0</v>
      </c>
      <c r="T52" s="287">
        <f t="shared" si="50"/>
        <v>0</v>
      </c>
      <c r="U52" s="287">
        <f t="shared" si="51"/>
        <v>0</v>
      </c>
      <c r="V52" s="287">
        <f t="shared" si="52"/>
        <v>0</v>
      </c>
      <c r="W52" s="287">
        <f t="shared" si="53"/>
        <v>0</v>
      </c>
      <c r="X52" s="287">
        <f t="shared" si="54"/>
        <v>0</v>
      </c>
      <c r="Y52" s="287">
        <f t="shared" si="55"/>
        <v>0</v>
      </c>
      <c r="AA52" s="287">
        <f t="shared" si="56"/>
        <v>0</v>
      </c>
      <c r="AB52" s="287">
        <f t="shared" si="57"/>
        <v>0</v>
      </c>
      <c r="AC52" s="287">
        <f t="shared" si="58"/>
        <v>0</v>
      </c>
      <c r="AD52" s="287">
        <f t="shared" si="59"/>
        <v>0</v>
      </c>
      <c r="AE52" s="287">
        <f t="shared" si="60"/>
        <v>0</v>
      </c>
      <c r="AF52" s="287">
        <f t="shared" si="61"/>
        <v>0</v>
      </c>
      <c r="AG52" s="287">
        <f t="shared" si="62"/>
        <v>0</v>
      </c>
      <c r="AI52" s="287">
        <f t="shared" si="63"/>
        <v>0</v>
      </c>
      <c r="AJ52" s="287">
        <f t="shared" si="64"/>
        <v>0</v>
      </c>
      <c r="AK52" s="287">
        <f t="shared" si="65"/>
        <v>0</v>
      </c>
      <c r="AL52" s="287">
        <f t="shared" si="66"/>
        <v>0</v>
      </c>
      <c r="AM52" s="287">
        <f t="shared" si="67"/>
        <v>0</v>
      </c>
      <c r="AN52" s="287">
        <f t="shared" si="68"/>
        <v>0</v>
      </c>
      <c r="AO52" s="287">
        <f t="shared" si="69"/>
        <v>0</v>
      </c>
      <c r="AQ52" s="287">
        <f t="shared" si="70"/>
        <v>0</v>
      </c>
      <c r="AR52" s="287">
        <f t="shared" si="71"/>
        <v>0</v>
      </c>
      <c r="AS52" s="287">
        <f t="shared" si="72"/>
        <v>0</v>
      </c>
      <c r="AT52" s="287">
        <f t="shared" si="73"/>
        <v>0</v>
      </c>
      <c r="AU52" s="287">
        <f t="shared" si="74"/>
        <v>0</v>
      </c>
      <c r="AV52" s="287">
        <f t="shared" si="75"/>
        <v>0</v>
      </c>
      <c r="AW52" s="287">
        <f t="shared" si="76"/>
        <v>0</v>
      </c>
      <c r="AY52" s="287">
        <f t="shared" si="77"/>
        <v>0</v>
      </c>
      <c r="AZ52" s="287">
        <f t="shared" si="78"/>
        <v>0</v>
      </c>
      <c r="BA52" s="287">
        <f t="shared" si="79"/>
        <v>0</v>
      </c>
      <c r="BB52" s="287">
        <f t="shared" si="80"/>
        <v>0</v>
      </c>
      <c r="BC52" s="287">
        <f t="shared" si="81"/>
        <v>0</v>
      </c>
      <c r="BD52" s="287">
        <f t="shared" si="82"/>
        <v>0</v>
      </c>
      <c r="BE52" s="287">
        <f t="shared" si="83"/>
        <v>0</v>
      </c>
      <c r="BG52" s="287">
        <f t="shared" si="84"/>
        <v>0</v>
      </c>
      <c r="BH52" s="287">
        <f t="shared" si="85"/>
        <v>0</v>
      </c>
      <c r="BI52" s="287">
        <f t="shared" si="86"/>
        <v>0</v>
      </c>
      <c r="BJ52" s="287">
        <f t="shared" si="87"/>
        <v>0</v>
      </c>
      <c r="BK52" s="290">
        <f t="shared" si="245"/>
        <v>0</v>
      </c>
      <c r="BL52" s="287">
        <f t="shared" si="88"/>
        <v>0</v>
      </c>
      <c r="BN52" s="287">
        <f t="shared" si="89"/>
        <v>0</v>
      </c>
      <c r="BO52" s="287">
        <f t="shared" si="90"/>
        <v>0</v>
      </c>
      <c r="BP52" s="287">
        <f t="shared" si="91"/>
        <v>0</v>
      </c>
      <c r="BQ52" s="287">
        <f t="shared" si="92"/>
        <v>0</v>
      </c>
      <c r="BR52" s="290">
        <f t="shared" si="246"/>
        <v>0</v>
      </c>
      <c r="BS52" s="287">
        <f t="shared" si="93"/>
        <v>0</v>
      </c>
    </row>
    <row r="53" spans="1:85" s="288" customFormat="1" ht="18" customHeight="1" x14ac:dyDescent="0.25">
      <c r="A53" s="370" t="s">
        <v>95</v>
      </c>
      <c r="B53" s="370" t="str">
        <f>'ADU-21'!B$3:E$3</f>
        <v>Performance énergétique</v>
      </c>
      <c r="C53" s="799" t="str">
        <f>'ADU-21'!$B$8</f>
        <v>Bâtiments communaux</v>
      </c>
      <c r="D53" s="800" t="str">
        <f>'ADU-21'!$B$9</f>
        <v>Régulation de chauffage</v>
      </c>
      <c r="E53" s="800" t="str">
        <f>'ADU-21'!$B$4</f>
        <v>Communal</v>
      </c>
      <c r="F53" s="800" t="str">
        <f>'ADU-21'!$B$12</f>
        <v>AC MESSANCY</v>
      </c>
      <c r="G53" s="800" t="str">
        <f>'ADU-21'!$B$6</f>
        <v>Prêt bancaire</v>
      </c>
      <c r="H53" s="801">
        <f>'ADU-21'!$B$17</f>
        <v>110743.87</v>
      </c>
      <c r="I53" s="800" t="str">
        <f>'ADU-21'!$B$7</f>
        <v>Subs RW</v>
      </c>
      <c r="J53" s="801">
        <f>'ADU-21'!$B$18</f>
        <v>66446.322</v>
      </c>
      <c r="K53" s="801">
        <f>'ADU-21'!$B$21</f>
        <v>9365.2999999999993</v>
      </c>
      <c r="L53" s="801">
        <f>'ADU-21'!$B$22</f>
        <v>0</v>
      </c>
      <c r="M53" s="802">
        <f>'ADU-21'!$B$24</f>
        <v>4.7299657245363198</v>
      </c>
      <c r="N53" s="803">
        <f>'ADU-21'!$B$25</f>
        <v>35.882478000000006</v>
      </c>
      <c r="O53" s="804">
        <f t="shared" si="243"/>
        <v>0.81003305194228825</v>
      </c>
      <c r="P53" s="805" t="str">
        <f>'ADU-21'!$B$5</f>
        <v>A faire</v>
      </c>
      <c r="Q53" s="806">
        <f>'ADU-21'!$B$16</f>
        <v>2030</v>
      </c>
      <c r="R53" s="807" t="str">
        <f t="shared" si="244"/>
        <v/>
      </c>
      <c r="S53" s="287">
        <f t="shared" si="49"/>
        <v>0</v>
      </c>
      <c r="T53" s="287">
        <f t="shared" si="50"/>
        <v>0</v>
      </c>
      <c r="U53" s="287">
        <f t="shared" si="51"/>
        <v>0</v>
      </c>
      <c r="V53" s="287">
        <f t="shared" si="52"/>
        <v>0</v>
      </c>
      <c r="W53" s="287">
        <f t="shared" si="53"/>
        <v>0</v>
      </c>
      <c r="X53" s="287">
        <f t="shared" si="54"/>
        <v>0</v>
      </c>
      <c r="Y53" s="287">
        <f t="shared" si="55"/>
        <v>0</v>
      </c>
      <c r="AA53" s="287">
        <f t="shared" si="56"/>
        <v>0</v>
      </c>
      <c r="AB53" s="287">
        <f t="shared" si="57"/>
        <v>0</v>
      </c>
      <c r="AC53" s="287">
        <f t="shared" si="58"/>
        <v>0</v>
      </c>
      <c r="AD53" s="287">
        <f t="shared" si="59"/>
        <v>0</v>
      </c>
      <c r="AE53" s="287">
        <f t="shared" si="60"/>
        <v>0</v>
      </c>
      <c r="AF53" s="287">
        <f t="shared" si="61"/>
        <v>0</v>
      </c>
      <c r="AG53" s="287">
        <f t="shared" si="62"/>
        <v>0</v>
      </c>
      <c r="AI53" s="287">
        <f t="shared" si="63"/>
        <v>0</v>
      </c>
      <c r="AJ53" s="287">
        <f t="shared" si="64"/>
        <v>0</v>
      </c>
      <c r="AK53" s="287">
        <f t="shared" si="65"/>
        <v>0</v>
      </c>
      <c r="AL53" s="287">
        <f t="shared" si="66"/>
        <v>0</v>
      </c>
      <c r="AM53" s="287">
        <f t="shared" si="67"/>
        <v>0</v>
      </c>
      <c r="AN53" s="287">
        <f t="shared" si="68"/>
        <v>0</v>
      </c>
      <c r="AO53" s="287">
        <f t="shared" si="69"/>
        <v>0</v>
      </c>
      <c r="AQ53" s="287">
        <f t="shared" si="70"/>
        <v>0</v>
      </c>
      <c r="AR53" s="287">
        <f t="shared" si="71"/>
        <v>0</v>
      </c>
      <c r="AS53" s="287">
        <f t="shared" si="72"/>
        <v>0</v>
      </c>
      <c r="AT53" s="287">
        <f t="shared" si="73"/>
        <v>0</v>
      </c>
      <c r="AU53" s="287">
        <f t="shared" si="74"/>
        <v>0</v>
      </c>
      <c r="AV53" s="287">
        <f t="shared" si="75"/>
        <v>0</v>
      </c>
      <c r="AW53" s="287">
        <f t="shared" si="76"/>
        <v>0</v>
      </c>
      <c r="AY53" s="287">
        <f t="shared" si="77"/>
        <v>0</v>
      </c>
      <c r="AZ53" s="287">
        <f t="shared" si="78"/>
        <v>0</v>
      </c>
      <c r="BA53" s="287">
        <f t="shared" si="79"/>
        <v>0</v>
      </c>
      <c r="BB53" s="287">
        <f t="shared" si="80"/>
        <v>0</v>
      </c>
      <c r="BC53" s="287">
        <f t="shared" si="81"/>
        <v>0</v>
      </c>
      <c r="BD53" s="287">
        <f t="shared" si="82"/>
        <v>0</v>
      </c>
      <c r="BE53" s="287">
        <f t="shared" si="83"/>
        <v>0</v>
      </c>
      <c r="BG53" s="287">
        <f t="shared" si="84"/>
        <v>0</v>
      </c>
      <c r="BH53" s="287">
        <f t="shared" si="85"/>
        <v>0</v>
      </c>
      <c r="BI53" s="287">
        <f t="shared" si="86"/>
        <v>0</v>
      </c>
      <c r="BJ53" s="287">
        <f t="shared" si="87"/>
        <v>0</v>
      </c>
      <c r="BK53" s="290">
        <f t="shared" si="245"/>
        <v>0</v>
      </c>
      <c r="BL53" s="287">
        <f t="shared" si="88"/>
        <v>0</v>
      </c>
      <c r="BN53" s="287">
        <f t="shared" si="89"/>
        <v>0</v>
      </c>
      <c r="BO53" s="287">
        <f t="shared" si="90"/>
        <v>0</v>
      </c>
      <c r="BP53" s="287">
        <f t="shared" si="91"/>
        <v>0</v>
      </c>
      <c r="BQ53" s="287">
        <f t="shared" si="92"/>
        <v>0</v>
      </c>
      <c r="BR53" s="290">
        <f t="shared" si="246"/>
        <v>0</v>
      </c>
      <c r="BS53" s="287">
        <f t="shared" si="93"/>
        <v>0</v>
      </c>
    </row>
    <row r="54" spans="1:85" s="910" customFormat="1" ht="18" customHeight="1" x14ac:dyDescent="0.25">
      <c r="A54" s="369" t="s">
        <v>96</v>
      </c>
      <c r="B54" s="369" t="str">
        <f>'ADU-22'!B$3:E$3</f>
        <v>Performance énergétique</v>
      </c>
      <c r="C54" s="900" t="str">
        <f>'ADU-22'!$B$8</f>
        <v>Bâtiments agricoles</v>
      </c>
      <c r="D54" s="901" t="str">
        <f>'ADU-22'!$B$9</f>
        <v>Diagnostics énergétiques</v>
      </c>
      <c r="E54" s="901" t="str">
        <f>'ADU-22'!$B$4</f>
        <v>Agriculture</v>
      </c>
      <c r="F54" s="901" t="str">
        <f>'ADU-22'!$B$12</f>
        <v>Agriculture</v>
      </c>
      <c r="G54" s="901" t="str">
        <f>'ADU-22'!$B$6</f>
        <v>Fonds propres</v>
      </c>
      <c r="H54" s="902">
        <f>'ADU-22'!$B$17</f>
        <v>18000</v>
      </c>
      <c r="I54" s="901" t="str">
        <f>'ADU-22'!$B$7</f>
        <v>Néant</v>
      </c>
      <c r="J54" s="902">
        <f>'ADU-22'!$B$18</f>
        <v>0</v>
      </c>
      <c r="K54" s="902">
        <f>'ADU-22'!$B$21</f>
        <v>19174.776271985571</v>
      </c>
      <c r="L54" s="902">
        <f>'ADU-22'!$B$22</f>
        <v>0</v>
      </c>
      <c r="M54" s="903">
        <f>'ADU-22'!$B$24</f>
        <v>0.93873324750589537</v>
      </c>
      <c r="N54" s="904">
        <f>'ADU-22'!$B$25</f>
        <v>66.224824429401139</v>
      </c>
      <c r="O54" s="905">
        <f t="shared" si="243"/>
        <v>3.6791569127445078</v>
      </c>
      <c r="P54" s="906" t="str">
        <f>'ADU-22'!$B$5</f>
        <v>A faire</v>
      </c>
      <c r="Q54" s="907">
        <f>'ADU-22'!$B$16</f>
        <v>2025</v>
      </c>
      <c r="R54" s="908" t="str">
        <f t="shared" si="244"/>
        <v/>
      </c>
      <c r="S54" s="909">
        <f t="shared" si="49"/>
        <v>0</v>
      </c>
      <c r="T54" s="909">
        <f t="shared" si="50"/>
        <v>0</v>
      </c>
      <c r="U54" s="909">
        <f t="shared" si="51"/>
        <v>0</v>
      </c>
      <c r="V54" s="909">
        <f t="shared" si="52"/>
        <v>0</v>
      </c>
      <c r="W54" s="909">
        <f t="shared" si="53"/>
        <v>0</v>
      </c>
      <c r="X54" s="909">
        <f t="shared" si="54"/>
        <v>0</v>
      </c>
      <c r="Y54" s="909">
        <f t="shared" si="55"/>
        <v>0</v>
      </c>
      <c r="AA54" s="909">
        <f t="shared" si="56"/>
        <v>0</v>
      </c>
      <c r="AB54" s="909">
        <f t="shared" si="57"/>
        <v>0</v>
      </c>
      <c r="AC54" s="909">
        <f t="shared" si="58"/>
        <v>0</v>
      </c>
      <c r="AD54" s="909">
        <f t="shared" si="59"/>
        <v>0</v>
      </c>
      <c r="AE54" s="909">
        <f t="shared" si="60"/>
        <v>0</v>
      </c>
      <c r="AF54" s="909">
        <f t="shared" si="61"/>
        <v>0</v>
      </c>
      <c r="AG54" s="909">
        <f t="shared" si="62"/>
        <v>0</v>
      </c>
      <c r="AI54" s="909">
        <f t="shared" si="63"/>
        <v>0</v>
      </c>
      <c r="AJ54" s="909">
        <f t="shared" si="64"/>
        <v>0</v>
      </c>
      <c r="AK54" s="909">
        <f t="shared" si="65"/>
        <v>0</v>
      </c>
      <c r="AL54" s="909">
        <f t="shared" si="66"/>
        <v>0</v>
      </c>
      <c r="AM54" s="909">
        <f t="shared" si="67"/>
        <v>0</v>
      </c>
      <c r="AN54" s="909">
        <f t="shared" si="68"/>
        <v>0</v>
      </c>
      <c r="AO54" s="909">
        <f t="shared" si="69"/>
        <v>0</v>
      </c>
      <c r="AQ54" s="909">
        <f t="shared" si="70"/>
        <v>0</v>
      </c>
      <c r="AR54" s="909">
        <f t="shared" si="71"/>
        <v>0</v>
      </c>
      <c r="AS54" s="909">
        <f t="shared" si="72"/>
        <v>0</v>
      </c>
      <c r="AT54" s="909">
        <f t="shared" si="73"/>
        <v>0</v>
      </c>
      <c r="AU54" s="909">
        <f t="shared" si="74"/>
        <v>0</v>
      </c>
      <c r="AV54" s="909">
        <f t="shared" si="75"/>
        <v>0</v>
      </c>
      <c r="AW54" s="909">
        <f t="shared" si="76"/>
        <v>0</v>
      </c>
      <c r="AY54" s="909">
        <f t="shared" si="77"/>
        <v>0</v>
      </c>
      <c r="AZ54" s="909">
        <f t="shared" si="78"/>
        <v>0</v>
      </c>
      <c r="BA54" s="909">
        <f t="shared" si="79"/>
        <v>0</v>
      </c>
      <c r="BB54" s="909">
        <f t="shared" si="80"/>
        <v>0</v>
      </c>
      <c r="BC54" s="909">
        <f t="shared" si="81"/>
        <v>0</v>
      </c>
      <c r="BD54" s="909">
        <f t="shared" si="82"/>
        <v>0</v>
      </c>
      <c r="BE54" s="909">
        <f t="shared" si="83"/>
        <v>0</v>
      </c>
      <c r="BG54" s="909">
        <f t="shared" si="84"/>
        <v>0</v>
      </c>
      <c r="BH54" s="909">
        <f t="shared" si="85"/>
        <v>0</v>
      </c>
      <c r="BI54" s="909">
        <f t="shared" si="86"/>
        <v>0</v>
      </c>
      <c r="BJ54" s="909">
        <f t="shared" si="87"/>
        <v>0</v>
      </c>
      <c r="BK54" s="911">
        <f t="shared" si="245"/>
        <v>0</v>
      </c>
      <c r="BL54" s="909">
        <f t="shared" si="88"/>
        <v>0</v>
      </c>
      <c r="BN54" s="909">
        <f t="shared" si="89"/>
        <v>0</v>
      </c>
      <c r="BO54" s="909">
        <f t="shared" si="90"/>
        <v>0</v>
      </c>
      <c r="BP54" s="909">
        <f t="shared" si="91"/>
        <v>0</v>
      </c>
      <c r="BQ54" s="909">
        <f t="shared" si="92"/>
        <v>0</v>
      </c>
      <c r="BR54" s="911">
        <f t="shared" si="246"/>
        <v>0</v>
      </c>
      <c r="BS54" s="909">
        <f t="shared" si="93"/>
        <v>0</v>
      </c>
    </row>
    <row r="55" spans="1:85" s="832" customFormat="1" ht="18" customHeight="1" x14ac:dyDescent="0.25">
      <c r="A55" s="821" t="s">
        <v>97</v>
      </c>
      <c r="B55" s="821" t="str">
        <f>'ADU-23'!B$3:E$3</f>
        <v>Performance énergétique</v>
      </c>
      <c r="C55" s="822" t="str">
        <f>'ADU-23'!$B$8</f>
        <v>Processus de fabrication</v>
      </c>
      <c r="D55" s="823" t="str">
        <f>'ADU-23'!$B$9</f>
        <v xml:space="preserve">Réduction des consommations </v>
      </c>
      <c r="E55" s="823" t="str">
        <f>'ADU-23'!$B$4</f>
        <v>Industrie</v>
      </c>
      <c r="F55" s="823" t="str">
        <f>'ADU-23'!$B$12</f>
        <v>Industrie</v>
      </c>
      <c r="G55" s="823" t="str">
        <f>'ADU-23'!$B$6</f>
        <v>Fonds propres</v>
      </c>
      <c r="H55" s="824">
        <f>'ADU-23'!$B$17</f>
        <v>20000</v>
      </c>
      <c r="I55" s="823" t="str">
        <f>'ADU-23'!$B$7</f>
        <v>Néant</v>
      </c>
      <c r="J55" s="824">
        <f>'ADU-23'!$B$18</f>
        <v>0</v>
      </c>
      <c r="K55" s="824">
        <f>'ADU-23'!$B$21</f>
        <v>405610.29652933386</v>
      </c>
      <c r="L55" s="824">
        <f>'ADU-23'!$B$22</f>
        <v>0</v>
      </c>
      <c r="M55" s="825">
        <f>'ADU-23'!$B$24</f>
        <v>4.930841295483137E-2</v>
      </c>
      <c r="N55" s="826">
        <f>'ADU-23'!$B$25</f>
        <v>963.75583230597977</v>
      </c>
      <c r="O55" s="827">
        <f t="shared" si="243"/>
        <v>48.187791615298984</v>
      </c>
      <c r="P55" s="828" t="str">
        <f>'ADU-23'!$B$5</f>
        <v>A faire</v>
      </c>
      <c r="Q55" s="829">
        <f>'ADU-23'!$B$16</f>
        <v>2030</v>
      </c>
      <c r="R55" s="830" t="str">
        <f t="shared" si="244"/>
        <v/>
      </c>
      <c r="S55" s="831">
        <f t="shared" si="49"/>
        <v>0</v>
      </c>
      <c r="T55" s="831">
        <f t="shared" si="50"/>
        <v>0</v>
      </c>
      <c r="U55" s="831">
        <f t="shared" si="51"/>
        <v>0</v>
      </c>
      <c r="V55" s="831">
        <f t="shared" si="52"/>
        <v>0</v>
      </c>
      <c r="W55" s="831">
        <f t="shared" si="53"/>
        <v>0</v>
      </c>
      <c r="X55" s="831">
        <f t="shared" si="54"/>
        <v>0</v>
      </c>
      <c r="Y55" s="831">
        <f t="shared" si="55"/>
        <v>0</v>
      </c>
      <c r="AA55" s="831">
        <f t="shared" si="56"/>
        <v>0</v>
      </c>
      <c r="AB55" s="831">
        <f t="shared" si="57"/>
        <v>0</v>
      </c>
      <c r="AC55" s="831">
        <f t="shared" si="58"/>
        <v>0</v>
      </c>
      <c r="AD55" s="831">
        <f t="shared" si="59"/>
        <v>0</v>
      </c>
      <c r="AE55" s="831">
        <f t="shared" si="60"/>
        <v>0</v>
      </c>
      <c r="AF55" s="831">
        <f t="shared" si="61"/>
        <v>0</v>
      </c>
      <c r="AG55" s="831">
        <f t="shared" si="62"/>
        <v>0</v>
      </c>
      <c r="AI55" s="831">
        <f t="shared" si="63"/>
        <v>0</v>
      </c>
      <c r="AJ55" s="831">
        <f t="shared" si="64"/>
        <v>0</v>
      </c>
      <c r="AK55" s="831">
        <f t="shared" si="65"/>
        <v>0</v>
      </c>
      <c r="AL55" s="831">
        <f t="shared" si="66"/>
        <v>0</v>
      </c>
      <c r="AM55" s="831">
        <f t="shared" si="67"/>
        <v>0</v>
      </c>
      <c r="AN55" s="831">
        <f t="shared" si="68"/>
        <v>0</v>
      </c>
      <c r="AO55" s="831">
        <f t="shared" si="69"/>
        <v>0</v>
      </c>
      <c r="AQ55" s="831">
        <f t="shared" si="70"/>
        <v>0</v>
      </c>
      <c r="AR55" s="831">
        <f t="shared" si="71"/>
        <v>0</v>
      </c>
      <c r="AS55" s="831">
        <f t="shared" si="72"/>
        <v>0</v>
      </c>
      <c r="AT55" s="831">
        <f t="shared" si="73"/>
        <v>0</v>
      </c>
      <c r="AU55" s="831">
        <f t="shared" si="74"/>
        <v>0</v>
      </c>
      <c r="AV55" s="831">
        <f t="shared" si="75"/>
        <v>0</v>
      </c>
      <c r="AW55" s="831">
        <f t="shared" si="76"/>
        <v>0</v>
      </c>
      <c r="AY55" s="831">
        <f t="shared" si="77"/>
        <v>0</v>
      </c>
      <c r="AZ55" s="831">
        <f t="shared" si="78"/>
        <v>0</v>
      </c>
      <c r="BA55" s="831">
        <f t="shared" si="79"/>
        <v>0</v>
      </c>
      <c r="BB55" s="831">
        <f t="shared" si="80"/>
        <v>0</v>
      </c>
      <c r="BC55" s="831">
        <f t="shared" si="81"/>
        <v>0</v>
      </c>
      <c r="BD55" s="831">
        <f t="shared" si="82"/>
        <v>0</v>
      </c>
      <c r="BE55" s="831">
        <f t="shared" si="83"/>
        <v>0</v>
      </c>
      <c r="BG55" s="831">
        <f t="shared" si="84"/>
        <v>0</v>
      </c>
      <c r="BH55" s="831">
        <f t="shared" si="85"/>
        <v>0</v>
      </c>
      <c r="BI55" s="831">
        <f t="shared" si="86"/>
        <v>0</v>
      </c>
      <c r="BJ55" s="831">
        <f t="shared" si="87"/>
        <v>0</v>
      </c>
      <c r="BK55" s="833">
        <f t="shared" si="245"/>
        <v>0</v>
      </c>
      <c r="BL55" s="831">
        <f t="shared" si="88"/>
        <v>0</v>
      </c>
      <c r="BN55" s="831">
        <f t="shared" si="89"/>
        <v>0</v>
      </c>
      <c r="BO55" s="831">
        <f t="shared" si="90"/>
        <v>0</v>
      </c>
      <c r="BP55" s="831">
        <f t="shared" si="91"/>
        <v>0</v>
      </c>
      <c r="BQ55" s="831">
        <f t="shared" si="92"/>
        <v>0</v>
      </c>
      <c r="BR55" s="833">
        <f t="shared" si="246"/>
        <v>0</v>
      </c>
      <c r="BS55" s="831">
        <f t="shared" si="93"/>
        <v>0</v>
      </c>
    </row>
    <row r="56" spans="1:85" s="884" customFormat="1" ht="18" customHeight="1" x14ac:dyDescent="0.25">
      <c r="A56" s="873" t="s">
        <v>99</v>
      </c>
      <c r="B56" s="873" t="str">
        <f>'ADU-24'!B$3:E$3</f>
        <v>Performance énergétique</v>
      </c>
      <c r="C56" s="874" t="str">
        <f>'ADU-24'!$B$8</f>
        <v>Bâtiments tertiaires</v>
      </c>
      <c r="D56" s="875" t="str">
        <f>'ADU-24'!$B$9</f>
        <v xml:space="preserve">Performance énergétique </v>
      </c>
      <c r="E56" s="875" t="str">
        <f>'ADU-24'!$B$4</f>
        <v>Tertiaire</v>
      </c>
      <c r="F56" s="875" t="str">
        <f>'ADU-24'!$B$12</f>
        <v>Tertiaire</v>
      </c>
      <c r="G56" s="875" t="str">
        <f>'ADU-24'!$B$6</f>
        <v>Fonds propres</v>
      </c>
      <c r="H56" s="876">
        <f>'ADU-24'!$B$17</f>
        <v>20000</v>
      </c>
      <c r="I56" s="875" t="str">
        <f>'ADU-24'!$B$7</f>
        <v>Néant</v>
      </c>
      <c r="J56" s="876">
        <f>'ADU-24'!$B$18</f>
        <v>0</v>
      </c>
      <c r="K56" s="876">
        <f>'ADU-24'!$B$21</f>
        <v>131957.41576785903</v>
      </c>
      <c r="L56" s="876">
        <f>'ADU-24'!$B$22</f>
        <v>0</v>
      </c>
      <c r="M56" s="877">
        <f>'ADU-24'!$B$24</f>
        <v>0.15156404726191536</v>
      </c>
      <c r="N56" s="878">
        <f>'ADU-24'!$B$25</f>
        <v>316.43209087158976</v>
      </c>
      <c r="O56" s="879">
        <f t="shared" ref="O56:O84" si="247">IF(H56=0,0,N56/(H56-J56)*1000)</f>
        <v>15.821604543579486</v>
      </c>
      <c r="P56" s="880" t="str">
        <f>'ADU-24'!$B$5</f>
        <v>A faire</v>
      </c>
      <c r="Q56" s="881">
        <f>'ADU-24'!$B$16</f>
        <v>2030</v>
      </c>
      <c r="R56" s="882" t="str">
        <f t="shared" si="244"/>
        <v/>
      </c>
      <c r="S56" s="883">
        <f t="shared" si="49"/>
        <v>0</v>
      </c>
      <c r="T56" s="883">
        <f t="shared" si="50"/>
        <v>0</v>
      </c>
      <c r="U56" s="883">
        <f t="shared" si="51"/>
        <v>0</v>
      </c>
      <c r="V56" s="883">
        <f t="shared" si="52"/>
        <v>0</v>
      </c>
      <c r="W56" s="883">
        <f t="shared" si="53"/>
        <v>0</v>
      </c>
      <c r="X56" s="883">
        <f t="shared" si="54"/>
        <v>0</v>
      </c>
      <c r="Y56" s="883">
        <f t="shared" si="55"/>
        <v>0</v>
      </c>
      <c r="AA56" s="883">
        <f t="shared" si="56"/>
        <v>0</v>
      </c>
      <c r="AB56" s="883">
        <f t="shared" si="57"/>
        <v>0</v>
      </c>
      <c r="AC56" s="883">
        <f t="shared" si="58"/>
        <v>0</v>
      </c>
      <c r="AD56" s="883">
        <f t="shared" si="59"/>
        <v>0</v>
      </c>
      <c r="AE56" s="883">
        <f t="shared" si="60"/>
        <v>0</v>
      </c>
      <c r="AF56" s="883">
        <f t="shared" si="61"/>
        <v>0</v>
      </c>
      <c r="AG56" s="883">
        <f t="shared" si="62"/>
        <v>0</v>
      </c>
      <c r="AI56" s="883">
        <f t="shared" si="63"/>
        <v>0</v>
      </c>
      <c r="AJ56" s="883">
        <f t="shared" si="64"/>
        <v>0</v>
      </c>
      <c r="AK56" s="883">
        <f t="shared" si="65"/>
        <v>0</v>
      </c>
      <c r="AL56" s="883">
        <f t="shared" si="66"/>
        <v>0</v>
      </c>
      <c r="AM56" s="883">
        <f t="shared" si="67"/>
        <v>0</v>
      </c>
      <c r="AN56" s="883">
        <f t="shared" si="68"/>
        <v>0</v>
      </c>
      <c r="AO56" s="883">
        <f t="shared" si="69"/>
        <v>0</v>
      </c>
      <c r="AQ56" s="883">
        <f t="shared" si="70"/>
        <v>0</v>
      </c>
      <c r="AR56" s="883">
        <f t="shared" si="71"/>
        <v>0</v>
      </c>
      <c r="AS56" s="883">
        <f t="shared" si="72"/>
        <v>0</v>
      </c>
      <c r="AT56" s="883">
        <f t="shared" si="73"/>
        <v>0</v>
      </c>
      <c r="AU56" s="883">
        <f t="shared" si="74"/>
        <v>0</v>
      </c>
      <c r="AV56" s="883">
        <f t="shared" si="75"/>
        <v>0</v>
      </c>
      <c r="AW56" s="883">
        <f t="shared" si="76"/>
        <v>0</v>
      </c>
      <c r="AY56" s="883">
        <f t="shared" si="77"/>
        <v>0</v>
      </c>
      <c r="AZ56" s="883">
        <f t="shared" si="78"/>
        <v>0</v>
      </c>
      <c r="BA56" s="883">
        <f t="shared" si="79"/>
        <v>0</v>
      </c>
      <c r="BB56" s="883">
        <f t="shared" si="80"/>
        <v>0</v>
      </c>
      <c r="BC56" s="883">
        <f t="shared" si="81"/>
        <v>0</v>
      </c>
      <c r="BD56" s="883">
        <f t="shared" si="82"/>
        <v>0</v>
      </c>
      <c r="BE56" s="883">
        <f t="shared" si="83"/>
        <v>0</v>
      </c>
      <c r="BG56" s="883">
        <f t="shared" si="84"/>
        <v>0</v>
      </c>
      <c r="BH56" s="883">
        <f t="shared" si="85"/>
        <v>0</v>
      </c>
      <c r="BI56" s="883">
        <f t="shared" si="86"/>
        <v>0</v>
      </c>
      <c r="BJ56" s="883">
        <f t="shared" si="87"/>
        <v>0</v>
      </c>
      <c r="BK56" s="885">
        <f t="shared" si="245"/>
        <v>0</v>
      </c>
      <c r="BL56" s="883">
        <f t="shared" si="88"/>
        <v>0</v>
      </c>
      <c r="BN56" s="883">
        <f t="shared" si="89"/>
        <v>0</v>
      </c>
      <c r="BO56" s="883">
        <f t="shared" si="90"/>
        <v>0</v>
      </c>
      <c r="BP56" s="883">
        <f t="shared" si="91"/>
        <v>0</v>
      </c>
      <c r="BQ56" s="883">
        <f t="shared" si="92"/>
        <v>0</v>
      </c>
      <c r="BR56" s="885">
        <f t="shared" si="246"/>
        <v>0</v>
      </c>
      <c r="BS56" s="883">
        <f t="shared" si="93"/>
        <v>0</v>
      </c>
    </row>
    <row r="57" spans="1:85" s="924" customFormat="1" ht="18" customHeight="1" x14ac:dyDescent="0.25">
      <c r="A57" s="913" t="s">
        <v>101</v>
      </c>
      <c r="B57" s="913" t="str">
        <f>'ADU-25'!B$3:E$3</f>
        <v>Performance énergétique</v>
      </c>
      <c r="C57" s="914" t="str">
        <f>'ADU-25'!$B$8</f>
        <v>Logement privés</v>
      </c>
      <c r="D57" s="915" t="str">
        <f>'ADU-25'!$B$9</f>
        <v>Renov'Energie</v>
      </c>
      <c r="E57" s="915" t="str">
        <f>'ADU-25'!$B$4</f>
        <v>Logement</v>
      </c>
      <c r="F57" s="915" t="str">
        <f>'ADU-25'!$B$12</f>
        <v>Citoyen</v>
      </c>
      <c r="G57" s="915" t="str">
        <f>'ADU-25'!$B$6</f>
        <v>ECOPÄCK</v>
      </c>
      <c r="H57" s="916">
        <f>'ADU-25'!$B$17</f>
        <v>825000</v>
      </c>
      <c r="I57" s="915" t="str">
        <f>'ADU-25'!$B$7</f>
        <v>Primes RW</v>
      </c>
      <c r="J57" s="916">
        <f>'ADU-25'!$B$18</f>
        <v>66000</v>
      </c>
      <c r="K57" s="916">
        <f>'ADU-25'!$B$21</f>
        <v>96673.618576483626</v>
      </c>
      <c r="L57" s="916">
        <f>'ADU-25'!$B$22</f>
        <v>0</v>
      </c>
      <c r="M57" s="917">
        <f>'ADU-25'!$B$24</f>
        <v>7.8511595115219031</v>
      </c>
      <c r="N57" s="918">
        <f>'ADU-25'!$B$25</f>
        <v>280.32354267768721</v>
      </c>
      <c r="O57" s="919">
        <f t="shared" si="247"/>
        <v>0.36933273080064188</v>
      </c>
      <c r="P57" s="920" t="str">
        <f>'ADU-25'!$B$5</f>
        <v>A faire</v>
      </c>
      <c r="Q57" s="921">
        <f>'ADU-25'!$B$16</f>
        <v>2023</v>
      </c>
      <c r="R57" s="922" t="str">
        <f>IF(P57="terminé", N57,"")</f>
        <v/>
      </c>
      <c r="S57" s="923">
        <f t="shared" si="49"/>
        <v>0</v>
      </c>
      <c r="T57" s="923">
        <f t="shared" si="50"/>
        <v>0</v>
      </c>
      <c r="U57" s="923">
        <f t="shared" si="51"/>
        <v>0</v>
      </c>
      <c r="V57" s="923">
        <f t="shared" si="52"/>
        <v>0</v>
      </c>
      <c r="W57" s="923">
        <f t="shared" si="53"/>
        <v>0</v>
      </c>
      <c r="X57" s="923">
        <f t="shared" si="54"/>
        <v>0</v>
      </c>
      <c r="Y57" s="923">
        <f t="shared" si="55"/>
        <v>0</v>
      </c>
      <c r="AA57" s="923">
        <f t="shared" si="56"/>
        <v>0</v>
      </c>
      <c r="AB57" s="923">
        <f t="shared" si="57"/>
        <v>0</v>
      </c>
      <c r="AC57" s="923">
        <f t="shared" si="58"/>
        <v>0</v>
      </c>
      <c r="AD57" s="923">
        <f t="shared" si="59"/>
        <v>0</v>
      </c>
      <c r="AE57" s="923">
        <f t="shared" si="60"/>
        <v>0</v>
      </c>
      <c r="AF57" s="923">
        <f t="shared" si="61"/>
        <v>0</v>
      </c>
      <c r="AG57" s="923">
        <f t="shared" si="62"/>
        <v>0</v>
      </c>
      <c r="AI57" s="923">
        <f t="shared" si="63"/>
        <v>0</v>
      </c>
      <c r="AJ57" s="923">
        <f t="shared" si="64"/>
        <v>0</v>
      </c>
      <c r="AK57" s="923">
        <f t="shared" si="65"/>
        <v>0</v>
      </c>
      <c r="AL57" s="923">
        <f t="shared" si="66"/>
        <v>0</v>
      </c>
      <c r="AM57" s="923">
        <f t="shared" si="67"/>
        <v>0</v>
      </c>
      <c r="AN57" s="923">
        <f t="shared" si="68"/>
        <v>0</v>
      </c>
      <c r="AO57" s="923">
        <f t="shared" si="69"/>
        <v>0</v>
      </c>
      <c r="AQ57" s="923">
        <f t="shared" si="70"/>
        <v>0</v>
      </c>
      <c r="AR57" s="923">
        <f t="shared" si="71"/>
        <v>0</v>
      </c>
      <c r="AS57" s="923">
        <f t="shared" si="72"/>
        <v>0</v>
      </c>
      <c r="AT57" s="923">
        <f t="shared" si="73"/>
        <v>0</v>
      </c>
      <c r="AU57" s="923">
        <f t="shared" si="74"/>
        <v>0</v>
      </c>
      <c r="AV57" s="923">
        <f t="shared" si="75"/>
        <v>0</v>
      </c>
      <c r="AW57" s="923">
        <f t="shared" si="76"/>
        <v>0</v>
      </c>
      <c r="AY57" s="923">
        <f t="shared" si="77"/>
        <v>0</v>
      </c>
      <c r="AZ57" s="923">
        <f t="shared" si="78"/>
        <v>0</v>
      </c>
      <c r="BA57" s="923">
        <f t="shared" si="79"/>
        <v>0</v>
      </c>
      <c r="BB57" s="923">
        <f t="shared" si="80"/>
        <v>0</v>
      </c>
      <c r="BC57" s="923">
        <f t="shared" si="81"/>
        <v>0</v>
      </c>
      <c r="BD57" s="923">
        <f t="shared" si="82"/>
        <v>0</v>
      </c>
      <c r="BE57" s="923">
        <f t="shared" si="83"/>
        <v>0</v>
      </c>
      <c r="BG57" s="923">
        <f t="shared" si="84"/>
        <v>0</v>
      </c>
      <c r="BH57" s="923">
        <f t="shared" si="85"/>
        <v>0</v>
      </c>
      <c r="BI57" s="923">
        <f t="shared" si="86"/>
        <v>0</v>
      </c>
      <c r="BJ57" s="923">
        <f t="shared" si="87"/>
        <v>0</v>
      </c>
      <c r="BK57" s="925">
        <f t="shared" si="245"/>
        <v>0</v>
      </c>
      <c r="BL57" s="923">
        <f t="shared" si="88"/>
        <v>0</v>
      </c>
      <c r="BN57" s="923">
        <f t="shared" si="89"/>
        <v>0</v>
      </c>
      <c r="BO57" s="923">
        <f t="shared" si="90"/>
        <v>0</v>
      </c>
      <c r="BP57" s="923">
        <f t="shared" si="91"/>
        <v>0</v>
      </c>
      <c r="BQ57" s="923">
        <f t="shared" si="92"/>
        <v>0</v>
      </c>
      <c r="BR57" s="925">
        <f t="shared" si="246"/>
        <v>0</v>
      </c>
      <c r="BS57" s="923">
        <f t="shared" si="93"/>
        <v>0</v>
      </c>
    </row>
    <row r="58" spans="1:85" s="832" customFormat="1" ht="18" customHeight="1" x14ac:dyDescent="0.25">
      <c r="A58" s="821" t="s">
        <v>190</v>
      </c>
      <c r="B58" s="821" t="str">
        <f>'ADU-26'!B$3:E$3</f>
        <v>Performance énergétique</v>
      </c>
      <c r="C58" s="822" t="str">
        <f>'ADU-26'!$B$8</f>
        <v>Processus de fabrication</v>
      </c>
      <c r="D58" s="823" t="str">
        <f>'ADU-26'!$B$9</f>
        <v>Economies d'énergie</v>
      </c>
      <c r="E58" s="823" t="str">
        <f>'ADU-26'!$B$4</f>
        <v>Industrie</v>
      </c>
      <c r="F58" s="823" t="str">
        <f>'ADU-26'!$B$12</f>
        <v>Industrie</v>
      </c>
      <c r="G58" s="823" t="str">
        <f>'ADU-26'!$B$6</f>
        <v>Fonds propres</v>
      </c>
      <c r="H58" s="824">
        <f>'ADU-26'!$B$17</f>
        <v>20000</v>
      </c>
      <c r="I58" s="823" t="str">
        <f>'ADU-26'!$B$7</f>
        <v>Néant</v>
      </c>
      <c r="J58" s="824">
        <f>'ADU-26'!$B$18</f>
        <v>0</v>
      </c>
      <c r="K58" s="824">
        <f>'ADU-26'!$B$21</f>
        <v>0</v>
      </c>
      <c r="L58" s="824">
        <f>'ADU-26'!$B$22</f>
        <v>0</v>
      </c>
      <c r="M58" s="825" t="e">
        <f>'ADU-26'!$B$24</f>
        <v>#DIV/0!</v>
      </c>
      <c r="N58" s="826">
        <f>'ADU-26'!$B$25</f>
        <v>0</v>
      </c>
      <c r="O58" s="827">
        <f t="shared" ref="O58:O60" si="248">IF(H58=0,0,N58/(H58-J58)*1000)</f>
        <v>0</v>
      </c>
      <c r="P58" s="828" t="str">
        <f>'ADU-26'!$B$5</f>
        <v>Terminé</v>
      </c>
      <c r="Q58" s="829">
        <f>'ADU-26'!$B$16</f>
        <v>2019</v>
      </c>
      <c r="R58" s="830">
        <f t="shared" ref="R58:R60" si="249">IF(P58="terminé", N58,"")</f>
        <v>0</v>
      </c>
      <c r="S58" s="831">
        <f t="shared" ref="S58:S60" si="250">IF((P58="Terminé")*AND(E58="Territoire"),N58,0)</f>
        <v>0</v>
      </c>
      <c r="T58" s="831">
        <f t="shared" ref="T58:T60" si="251">IF((P58="Terminé")*AND(E58="Agriculture"),N58,0)</f>
        <v>0</v>
      </c>
      <c r="U58" s="831">
        <f t="shared" ref="U58:U60" si="252">IF((P58="Terminé")*AND(E58="Industrie"), N58,0)</f>
        <v>0</v>
      </c>
      <c r="V58" s="831">
        <f t="shared" ref="V58:V60" si="253">IF((P58="Terminé")*AND(E58="Logement"),N58,0)</f>
        <v>0</v>
      </c>
      <c r="W58" s="831">
        <f t="shared" ref="W58:W60" si="254">IF((P58="Terminé")*AND(E58="Tertiaire"),N58,0)</f>
        <v>0</v>
      </c>
      <c r="X58" s="831">
        <f t="shared" ref="X58:X60" si="255">IF((P58="Terminé")*AND(E58="Transport"),N58,0)</f>
        <v>0</v>
      </c>
      <c r="Y58" s="831">
        <f t="shared" ref="Y58:Y60" si="256">IF((P58="Terminé")*AND(E58="Communal"),N58,0)</f>
        <v>0</v>
      </c>
      <c r="AA58" s="831">
        <f t="shared" ref="AA58:AA60" si="257">IF((P58="Terminé")*AND(E58="Territoire"),H58,0)</f>
        <v>0</v>
      </c>
      <c r="AB58" s="831">
        <f t="shared" ref="AB58:AB60" si="258">IF((P58="Terminé")*AND(E58="Agriculture"),H58,0)</f>
        <v>0</v>
      </c>
      <c r="AC58" s="831">
        <f t="shared" ref="AC58:AC60" si="259">IF((P58="Terminé")*AND(E58="Industrie"), H58,0)</f>
        <v>20000</v>
      </c>
      <c r="AD58" s="831">
        <f t="shared" ref="AD58:AD60" si="260">IF((P58="Terminé")*AND(E58="Logement"), H58,0)</f>
        <v>0</v>
      </c>
      <c r="AE58" s="831">
        <f t="shared" ref="AE58:AE60" si="261">IF((P58="Terminé")*AND(E58="Tertiaire"),H58,0)</f>
        <v>0</v>
      </c>
      <c r="AF58" s="831">
        <f t="shared" ref="AF58:AF60" si="262">IF((P58="Terminé")*AND(E58="Transport"),H58,0)</f>
        <v>0</v>
      </c>
      <c r="AG58" s="831">
        <f t="shared" ref="AG58:AG60" si="263">IF((P58="Terminé")*AND(E58="Communal"),H58,0)</f>
        <v>0</v>
      </c>
      <c r="AI58" s="831">
        <f t="shared" ref="AI58:AI60" si="264">IF((P58="Terminé")*AND(E58="Territoire"),J58,0)</f>
        <v>0</v>
      </c>
      <c r="AJ58" s="831">
        <f t="shared" ref="AJ58:AJ60" si="265">IF((P58="Terminé")*AND(E58="Agriculture"),J58,0)</f>
        <v>0</v>
      </c>
      <c r="AK58" s="831">
        <f t="shared" ref="AK58:AK60" si="266">IF((P58="Terminé")*AND(E58="Industrie"), J58,0)</f>
        <v>0</v>
      </c>
      <c r="AL58" s="831">
        <f t="shared" ref="AL58:AL60" si="267">IF((P58="Terminé")*AND(E58="Logement"), J58,0)</f>
        <v>0</v>
      </c>
      <c r="AM58" s="831">
        <f t="shared" ref="AM58:AM60" si="268">IF((P58="Terminé")*AND(E58="Tertiaire"),J58,0)</f>
        <v>0</v>
      </c>
      <c r="AN58" s="831">
        <f t="shared" ref="AN58:AN60" si="269">IF((P58="Terminé")*AND(E58="Transport"),J58,0)</f>
        <v>0</v>
      </c>
      <c r="AO58" s="831">
        <f t="shared" ref="AO58:AO60" si="270">IF((P58="Terminé")*AND(E58="Communal"),J58,0)</f>
        <v>0</v>
      </c>
      <c r="AQ58" s="831">
        <f t="shared" ref="AQ58:AQ60" si="271">IF((P58="Terminé")*AND(E58="Territoire"),K58,0)</f>
        <v>0</v>
      </c>
      <c r="AR58" s="831">
        <f t="shared" ref="AR58:AR60" si="272">IF((P58="Terminé")*AND(E58="Agriculture"),K58,0)</f>
        <v>0</v>
      </c>
      <c r="AS58" s="831">
        <f t="shared" ref="AS58:AS60" si="273">IF((P58="Terminé")*AND(E58="Industrie"), K58,0)</f>
        <v>0</v>
      </c>
      <c r="AT58" s="831">
        <f t="shared" ref="AT58:AT60" si="274">IF((P58="Terminé")*AND(E58="Logement"), K58,0)</f>
        <v>0</v>
      </c>
      <c r="AU58" s="831">
        <f t="shared" ref="AU58:AU60" si="275">IF((P58="Terminé")*AND(E58="Tertiaire"),K58,0)</f>
        <v>0</v>
      </c>
      <c r="AV58" s="831">
        <f t="shared" ref="AV58:AV60" si="276">IF((P58="Terminé")*AND(E58="Transport"),K58,0)</f>
        <v>0</v>
      </c>
      <c r="AW58" s="831">
        <f t="shared" ref="AW58:AW60" si="277">IF((P58="Terminé")*AND(E58="Communal"),K58,0)</f>
        <v>0</v>
      </c>
      <c r="AY58" s="831">
        <f t="shared" ref="AY58:AY60" si="278">IF((P58="Terminé")*AND(E58="Territoire"),L58,0)</f>
        <v>0</v>
      </c>
      <c r="AZ58" s="831">
        <f t="shared" ref="AZ58:AZ60" si="279">IF((P58="Terminé")*AND(E58="Agriculture"),L58,0)</f>
        <v>0</v>
      </c>
      <c r="BA58" s="831">
        <f t="shared" ref="BA58:BA60" si="280">IF((P58="Terminé")*AND(E58="Industrie"), L58,0)</f>
        <v>0</v>
      </c>
      <c r="BB58" s="831">
        <f t="shared" ref="BB58:BB60" si="281">IF((P58="Terminé")*AND(E58="Logement"), L58,0)</f>
        <v>0</v>
      </c>
      <c r="BC58" s="831">
        <f t="shared" ref="BC58:BC60" si="282">IF((P58="Terminé")*AND(E58="Tertiaire"),L58,0)</f>
        <v>0</v>
      </c>
      <c r="BD58" s="831">
        <f t="shared" ref="BD58:BD60" si="283">IF((P58="Terminé")*AND(E58="Transport"),L58,0)</f>
        <v>0</v>
      </c>
      <c r="BE58" s="831">
        <f t="shared" ref="BE58:BE60" si="284">IF((P58="Terminé")*AND(E58="Communal"),L58,0)</f>
        <v>0</v>
      </c>
      <c r="BG58" s="831">
        <f t="shared" ref="BG58:BG60" si="285">IF((P58="Terminé")*AND(F58="Agriculture"),H58,0)</f>
        <v>0</v>
      </c>
      <c r="BH58" s="831">
        <f t="shared" ref="BH58:BH60" si="286">IF((P58="Terminé")*AND(F58="Industrie"),H58,0)</f>
        <v>20000</v>
      </c>
      <c r="BI58" s="831">
        <f t="shared" ref="BI58:BI60" si="287">IF((P58="Terminé")*AND(F58="Citoyen"), H58,0)</f>
        <v>0</v>
      </c>
      <c r="BJ58" s="831">
        <f t="shared" ref="BJ58:BJ60" si="288">IF((P58="Terminé")*AND(F58="IDELUX"), H58,0)</f>
        <v>0</v>
      </c>
      <c r="BK58" s="833">
        <f t="shared" ref="BK58:BK60" si="289">IF((P58="Terminé")*AND(F58="AC MESSANCY"),H58,0)</f>
        <v>0</v>
      </c>
      <c r="BL58" s="831">
        <f t="shared" ref="BL58:BL60" si="290">IF((P58="Terminé")*AND(F58="Tertiaire"),H58,0)</f>
        <v>0</v>
      </c>
      <c r="BN58" s="831">
        <f t="shared" ref="BN58:BN60" si="291">IF((P58="Terminé")*AND(F58="Agriculture"),J58,0)</f>
        <v>0</v>
      </c>
      <c r="BO58" s="831">
        <f t="shared" ref="BO58:BO60" si="292">IF((P58="Terminé")*AND(F58="Industrie"),J58,0)</f>
        <v>0</v>
      </c>
      <c r="BP58" s="831">
        <f t="shared" ref="BP58:BP60" si="293">IF((P58="Terminé")*AND(F58="Citoyen"), J58,0)</f>
        <v>0</v>
      </c>
      <c r="BQ58" s="831">
        <f t="shared" ref="BQ58:BQ60" si="294">IF((P58="Terminé")*AND(F58="IDELUX"), J58,0)</f>
        <v>0</v>
      </c>
      <c r="BR58" s="833">
        <f t="shared" ref="BR58:BR60" si="295">IF((P58="Terminé")*AND(F58="AC MESSANCY"),J58,0)</f>
        <v>0</v>
      </c>
      <c r="BS58" s="831">
        <f t="shared" ref="BS58:BS60" si="296">IF((P58="Terminé")*AND(F58="Tertiaire"),J58,0)</f>
        <v>0</v>
      </c>
    </row>
    <row r="59" spans="1:85" s="832" customFormat="1" ht="18" customHeight="1" x14ac:dyDescent="0.25">
      <c r="A59" s="821" t="s">
        <v>191</v>
      </c>
      <c r="B59" s="821" t="str">
        <f>'ADU-27'!B$3:E$3</f>
        <v>Performance énergétique</v>
      </c>
      <c r="C59" s="822" t="str">
        <f>'ADU-27'!$B$8</f>
        <v>Processus de fabrication</v>
      </c>
      <c r="D59" s="823" t="str">
        <f>'ADU-27'!$B$9</f>
        <v>Economies d'énergie</v>
      </c>
      <c r="E59" s="823" t="str">
        <f>'ADU-27'!$B$4</f>
        <v>Industrie</v>
      </c>
      <c r="F59" s="823" t="str">
        <f>'ADU-27'!$B$12</f>
        <v>Industrie</v>
      </c>
      <c r="G59" s="823" t="str">
        <f>'ADU-27'!$B$6</f>
        <v>Fonds propres</v>
      </c>
      <c r="H59" s="824">
        <f>'ADU-27'!$B$17</f>
        <v>20000</v>
      </c>
      <c r="I59" s="823" t="str">
        <f>'ADU-27'!$B$7</f>
        <v>Néant</v>
      </c>
      <c r="J59" s="824">
        <f>'ADU-27'!$B$18</f>
        <v>0</v>
      </c>
      <c r="K59" s="824">
        <f>'ADU-27'!$B$21</f>
        <v>0</v>
      </c>
      <c r="L59" s="824">
        <f>'ADU-27'!$B$22</f>
        <v>0</v>
      </c>
      <c r="M59" s="825" t="e">
        <f>'ADU-27'!$B$24</f>
        <v>#DIV/0!</v>
      </c>
      <c r="N59" s="826">
        <f>'ADU-27'!$B$25</f>
        <v>0</v>
      </c>
      <c r="O59" s="827">
        <f t="shared" si="248"/>
        <v>0</v>
      </c>
      <c r="P59" s="828" t="str">
        <f>'ADU-27'!$B$5</f>
        <v>Terminé</v>
      </c>
      <c r="Q59" s="829">
        <f>'ADU-27'!$B$16</f>
        <v>2019</v>
      </c>
      <c r="R59" s="830">
        <f t="shared" si="249"/>
        <v>0</v>
      </c>
      <c r="S59" s="831">
        <f t="shared" si="250"/>
        <v>0</v>
      </c>
      <c r="T59" s="831">
        <f t="shared" si="251"/>
        <v>0</v>
      </c>
      <c r="U59" s="831">
        <f t="shared" si="252"/>
        <v>0</v>
      </c>
      <c r="V59" s="831">
        <f t="shared" si="253"/>
        <v>0</v>
      </c>
      <c r="W59" s="831">
        <f t="shared" si="254"/>
        <v>0</v>
      </c>
      <c r="X59" s="831">
        <f t="shared" si="255"/>
        <v>0</v>
      </c>
      <c r="Y59" s="831">
        <f t="shared" si="256"/>
        <v>0</v>
      </c>
      <c r="AA59" s="831">
        <f t="shared" si="257"/>
        <v>0</v>
      </c>
      <c r="AB59" s="831">
        <f t="shared" si="258"/>
        <v>0</v>
      </c>
      <c r="AC59" s="831">
        <f t="shared" si="259"/>
        <v>20000</v>
      </c>
      <c r="AD59" s="831">
        <f t="shared" si="260"/>
        <v>0</v>
      </c>
      <c r="AE59" s="831">
        <f t="shared" si="261"/>
        <v>0</v>
      </c>
      <c r="AF59" s="831">
        <f t="shared" si="262"/>
        <v>0</v>
      </c>
      <c r="AG59" s="831">
        <f t="shared" si="263"/>
        <v>0</v>
      </c>
      <c r="AI59" s="831">
        <f t="shared" si="264"/>
        <v>0</v>
      </c>
      <c r="AJ59" s="831">
        <f t="shared" si="265"/>
        <v>0</v>
      </c>
      <c r="AK59" s="831">
        <f t="shared" si="266"/>
        <v>0</v>
      </c>
      <c r="AL59" s="831">
        <f t="shared" si="267"/>
        <v>0</v>
      </c>
      <c r="AM59" s="831">
        <f t="shared" si="268"/>
        <v>0</v>
      </c>
      <c r="AN59" s="831">
        <f t="shared" si="269"/>
        <v>0</v>
      </c>
      <c r="AO59" s="831">
        <f t="shared" si="270"/>
        <v>0</v>
      </c>
      <c r="AQ59" s="831">
        <f t="shared" si="271"/>
        <v>0</v>
      </c>
      <c r="AR59" s="831">
        <f t="shared" si="272"/>
        <v>0</v>
      </c>
      <c r="AS59" s="831">
        <f t="shared" si="273"/>
        <v>0</v>
      </c>
      <c r="AT59" s="831">
        <f t="shared" si="274"/>
        <v>0</v>
      </c>
      <c r="AU59" s="831">
        <f t="shared" si="275"/>
        <v>0</v>
      </c>
      <c r="AV59" s="831">
        <f t="shared" si="276"/>
        <v>0</v>
      </c>
      <c r="AW59" s="831">
        <f t="shared" si="277"/>
        <v>0</v>
      </c>
      <c r="AY59" s="831">
        <f t="shared" si="278"/>
        <v>0</v>
      </c>
      <c r="AZ59" s="831">
        <f t="shared" si="279"/>
        <v>0</v>
      </c>
      <c r="BA59" s="831">
        <f t="shared" si="280"/>
        <v>0</v>
      </c>
      <c r="BB59" s="831">
        <f t="shared" si="281"/>
        <v>0</v>
      </c>
      <c r="BC59" s="831">
        <f t="shared" si="282"/>
        <v>0</v>
      </c>
      <c r="BD59" s="831">
        <f t="shared" si="283"/>
        <v>0</v>
      </c>
      <c r="BE59" s="831">
        <f t="shared" si="284"/>
        <v>0</v>
      </c>
      <c r="BG59" s="831">
        <f t="shared" si="285"/>
        <v>0</v>
      </c>
      <c r="BH59" s="831">
        <f t="shared" si="286"/>
        <v>20000</v>
      </c>
      <c r="BI59" s="831">
        <f t="shared" si="287"/>
        <v>0</v>
      </c>
      <c r="BJ59" s="831">
        <f t="shared" si="288"/>
        <v>0</v>
      </c>
      <c r="BK59" s="833">
        <f t="shared" si="289"/>
        <v>0</v>
      </c>
      <c r="BL59" s="831">
        <f t="shared" si="290"/>
        <v>0</v>
      </c>
      <c r="BN59" s="831">
        <f t="shared" si="291"/>
        <v>0</v>
      </c>
      <c r="BO59" s="831">
        <f t="shared" si="292"/>
        <v>0</v>
      </c>
      <c r="BP59" s="831">
        <f t="shared" si="293"/>
        <v>0</v>
      </c>
      <c r="BQ59" s="831">
        <f t="shared" si="294"/>
        <v>0</v>
      </c>
      <c r="BR59" s="833">
        <f t="shared" si="295"/>
        <v>0</v>
      </c>
      <c r="BS59" s="831">
        <f t="shared" si="296"/>
        <v>0</v>
      </c>
    </row>
    <row r="60" spans="1:85" s="884" customFormat="1" ht="18" customHeight="1" x14ac:dyDescent="0.25">
      <c r="A60" s="873" t="s">
        <v>208</v>
      </c>
      <c r="B60" s="873" t="str">
        <f>'ADU-28'!B$3:E$3</f>
        <v>Performance énergétique</v>
      </c>
      <c r="C60" s="874" t="str">
        <f>'ADU-28'!$B$8</f>
        <v>Bâtiments tertiaires</v>
      </c>
      <c r="D60" s="875" t="str">
        <f>'ADU-28'!$B$9</f>
        <v>Performance énergétique</v>
      </c>
      <c r="E60" s="875" t="str">
        <f>'ADU-28'!$B$4</f>
        <v>Tertiaire</v>
      </c>
      <c r="F60" s="875" t="str">
        <f>'ADU-28'!$B$12</f>
        <v>Tertiaire</v>
      </c>
      <c r="G60" s="875" t="str">
        <f>'ADU-28'!$B$6</f>
        <v>Fonds propres</v>
      </c>
      <c r="H60" s="876">
        <f>'ADU-28'!$B$17</f>
        <v>20000</v>
      </c>
      <c r="I60" s="875" t="str">
        <f>'ADU-28'!$B$7</f>
        <v>Néant</v>
      </c>
      <c r="J60" s="876">
        <f>'ADU-28'!$B$18</f>
        <v>0</v>
      </c>
      <c r="K60" s="876">
        <f>'ADU-28'!$B$21</f>
        <v>0</v>
      </c>
      <c r="L60" s="876">
        <f>'ADU-28'!$B$22</f>
        <v>0</v>
      </c>
      <c r="M60" s="877" t="e">
        <f>'ADU-28'!$B$24</f>
        <v>#DIV/0!</v>
      </c>
      <c r="N60" s="878">
        <f>'ADU-28'!$B$25</f>
        <v>0</v>
      </c>
      <c r="O60" s="879">
        <f t="shared" si="248"/>
        <v>0</v>
      </c>
      <c r="P60" s="880" t="str">
        <f>'ADU-28'!$B$5</f>
        <v>Terminé</v>
      </c>
      <c r="Q60" s="881">
        <f>'ADU-28'!$B$16</f>
        <v>2019</v>
      </c>
      <c r="R60" s="882">
        <f t="shared" si="249"/>
        <v>0</v>
      </c>
      <c r="S60" s="883">
        <f t="shared" si="250"/>
        <v>0</v>
      </c>
      <c r="T60" s="883">
        <f t="shared" si="251"/>
        <v>0</v>
      </c>
      <c r="U60" s="883">
        <f t="shared" si="252"/>
        <v>0</v>
      </c>
      <c r="V60" s="883">
        <f t="shared" si="253"/>
        <v>0</v>
      </c>
      <c r="W60" s="883">
        <f t="shared" si="254"/>
        <v>0</v>
      </c>
      <c r="X60" s="883">
        <f t="shared" si="255"/>
        <v>0</v>
      </c>
      <c r="Y60" s="883">
        <f t="shared" si="256"/>
        <v>0</v>
      </c>
      <c r="AA60" s="883">
        <f t="shared" si="257"/>
        <v>0</v>
      </c>
      <c r="AB60" s="883">
        <f t="shared" si="258"/>
        <v>0</v>
      </c>
      <c r="AC60" s="883">
        <f t="shared" si="259"/>
        <v>0</v>
      </c>
      <c r="AD60" s="883">
        <f t="shared" si="260"/>
        <v>0</v>
      </c>
      <c r="AE60" s="883">
        <f t="shared" si="261"/>
        <v>20000</v>
      </c>
      <c r="AF60" s="883">
        <f t="shared" si="262"/>
        <v>0</v>
      </c>
      <c r="AG60" s="883">
        <f t="shared" si="263"/>
        <v>0</v>
      </c>
      <c r="AI60" s="883">
        <f t="shared" si="264"/>
        <v>0</v>
      </c>
      <c r="AJ60" s="883">
        <f t="shared" si="265"/>
        <v>0</v>
      </c>
      <c r="AK60" s="883">
        <f t="shared" si="266"/>
        <v>0</v>
      </c>
      <c r="AL60" s="883">
        <f t="shared" si="267"/>
        <v>0</v>
      </c>
      <c r="AM60" s="883">
        <f t="shared" si="268"/>
        <v>0</v>
      </c>
      <c r="AN60" s="883">
        <f t="shared" si="269"/>
        <v>0</v>
      </c>
      <c r="AO60" s="883">
        <f t="shared" si="270"/>
        <v>0</v>
      </c>
      <c r="AQ60" s="883">
        <f t="shared" si="271"/>
        <v>0</v>
      </c>
      <c r="AR60" s="883">
        <f t="shared" si="272"/>
        <v>0</v>
      </c>
      <c r="AS60" s="883">
        <f t="shared" si="273"/>
        <v>0</v>
      </c>
      <c r="AT60" s="883">
        <f t="shared" si="274"/>
        <v>0</v>
      </c>
      <c r="AU60" s="883">
        <f t="shared" si="275"/>
        <v>0</v>
      </c>
      <c r="AV60" s="883">
        <f t="shared" si="276"/>
        <v>0</v>
      </c>
      <c r="AW60" s="883">
        <f t="shared" si="277"/>
        <v>0</v>
      </c>
      <c r="AY60" s="883">
        <f t="shared" si="278"/>
        <v>0</v>
      </c>
      <c r="AZ60" s="883">
        <f t="shared" si="279"/>
        <v>0</v>
      </c>
      <c r="BA60" s="883">
        <f t="shared" si="280"/>
        <v>0</v>
      </c>
      <c r="BB60" s="883">
        <f t="shared" si="281"/>
        <v>0</v>
      </c>
      <c r="BC60" s="883">
        <f t="shared" si="282"/>
        <v>0</v>
      </c>
      <c r="BD60" s="883">
        <f t="shared" si="283"/>
        <v>0</v>
      </c>
      <c r="BE60" s="883">
        <f t="shared" si="284"/>
        <v>0</v>
      </c>
      <c r="BG60" s="883">
        <f t="shared" si="285"/>
        <v>0</v>
      </c>
      <c r="BH60" s="883">
        <f t="shared" si="286"/>
        <v>0</v>
      </c>
      <c r="BI60" s="883">
        <f t="shared" si="287"/>
        <v>0</v>
      </c>
      <c r="BJ60" s="883">
        <f t="shared" si="288"/>
        <v>0</v>
      </c>
      <c r="BK60" s="885">
        <f t="shared" si="289"/>
        <v>0</v>
      </c>
      <c r="BL60" s="883">
        <f t="shared" si="290"/>
        <v>20000</v>
      </c>
      <c r="BN60" s="883">
        <f t="shared" si="291"/>
        <v>0</v>
      </c>
      <c r="BO60" s="883">
        <f t="shared" si="292"/>
        <v>0</v>
      </c>
      <c r="BP60" s="883">
        <f t="shared" si="293"/>
        <v>0</v>
      </c>
      <c r="BQ60" s="883">
        <f t="shared" si="294"/>
        <v>0</v>
      </c>
      <c r="BR60" s="885">
        <f t="shared" si="295"/>
        <v>0</v>
      </c>
      <c r="BS60" s="883">
        <f t="shared" si="296"/>
        <v>0</v>
      </c>
    </row>
    <row r="61" spans="1:85" s="288" customFormat="1" ht="18" customHeight="1" x14ac:dyDescent="0.25">
      <c r="A61" s="370" t="s">
        <v>103</v>
      </c>
      <c r="B61" s="370" t="str">
        <f>'ADU-30'!B$3:E$3</f>
        <v>Performance énergétique</v>
      </c>
      <c r="C61" s="799" t="str">
        <f>'ADU-30'!$B$8</f>
        <v>Bâtiments communaux</v>
      </c>
      <c r="D61" s="800" t="str">
        <f>'ADU-30'!$B$9</f>
        <v>Economies d'énergie - Electricité</v>
      </c>
      <c r="E61" s="800" t="str">
        <f>'ADU-30'!$B$4</f>
        <v>Communal</v>
      </c>
      <c r="F61" s="800" t="str">
        <f>'ADU-30'!$B$12</f>
        <v>AC MESSANCY</v>
      </c>
      <c r="G61" s="800" t="str">
        <f>'ADU-30'!$B$6</f>
        <v>Fonds propres</v>
      </c>
      <c r="H61" s="801">
        <f>'ADU-30'!$B$17</f>
        <v>49927.199999999997</v>
      </c>
      <c r="I61" s="800" t="str">
        <f>'ADU-30'!$B$7</f>
        <v>Subs RW</v>
      </c>
      <c r="J61" s="801">
        <f>'ADU-30'!$B$18</f>
        <v>17474.996999999999</v>
      </c>
      <c r="K61" s="801">
        <f>'ADU-30'!$B$21</f>
        <v>11531.699999999999</v>
      </c>
      <c r="L61" s="801">
        <f>'ADU-30'!$B$22</f>
        <v>0</v>
      </c>
      <c r="M61" s="802">
        <f>'ADU-30'!$B$24</f>
        <v>2.8141733655922372</v>
      </c>
      <c r="N61" s="803">
        <f>'ADU-30'!$B$25</f>
        <v>17.746005</v>
      </c>
      <c r="O61" s="804">
        <f t="shared" si="247"/>
        <v>0.54683514089937135</v>
      </c>
      <c r="P61" s="805" t="str">
        <f>'ADU-30'!$B$5</f>
        <v>A faire</v>
      </c>
      <c r="Q61" s="806">
        <f>'ADU-30'!$B$16</f>
        <v>2021</v>
      </c>
      <c r="R61" s="807" t="str">
        <f>IF(P61="terminé", N61,"")</f>
        <v/>
      </c>
      <c r="S61" s="287">
        <f t="shared" si="49"/>
        <v>0</v>
      </c>
      <c r="T61" s="287">
        <f t="shared" si="50"/>
        <v>0</v>
      </c>
      <c r="U61" s="287">
        <f t="shared" si="51"/>
        <v>0</v>
      </c>
      <c r="V61" s="287">
        <f t="shared" si="52"/>
        <v>0</v>
      </c>
      <c r="W61" s="287">
        <f t="shared" si="53"/>
        <v>0</v>
      </c>
      <c r="X61" s="287">
        <f t="shared" si="54"/>
        <v>0</v>
      </c>
      <c r="Y61" s="287">
        <f t="shared" si="55"/>
        <v>0</v>
      </c>
      <c r="AA61" s="287">
        <f t="shared" si="56"/>
        <v>0</v>
      </c>
      <c r="AB61" s="287">
        <f t="shared" si="57"/>
        <v>0</v>
      </c>
      <c r="AC61" s="287">
        <f t="shared" si="58"/>
        <v>0</v>
      </c>
      <c r="AD61" s="287">
        <f t="shared" si="59"/>
        <v>0</v>
      </c>
      <c r="AE61" s="287">
        <f t="shared" si="60"/>
        <v>0</v>
      </c>
      <c r="AF61" s="287">
        <f t="shared" si="61"/>
        <v>0</v>
      </c>
      <c r="AG61" s="287">
        <f t="shared" si="62"/>
        <v>0</v>
      </c>
      <c r="AI61" s="287">
        <f t="shared" si="63"/>
        <v>0</v>
      </c>
      <c r="AJ61" s="287">
        <f t="shared" si="64"/>
        <v>0</v>
      </c>
      <c r="AK61" s="287">
        <f t="shared" si="65"/>
        <v>0</v>
      </c>
      <c r="AL61" s="287">
        <f t="shared" si="66"/>
        <v>0</v>
      </c>
      <c r="AM61" s="287">
        <f t="shared" si="67"/>
        <v>0</v>
      </c>
      <c r="AN61" s="287">
        <f t="shared" si="68"/>
        <v>0</v>
      </c>
      <c r="AO61" s="287">
        <f t="shared" si="69"/>
        <v>0</v>
      </c>
      <c r="AQ61" s="287">
        <f t="shared" si="70"/>
        <v>0</v>
      </c>
      <c r="AR61" s="287">
        <f t="shared" si="71"/>
        <v>0</v>
      </c>
      <c r="AS61" s="287">
        <f t="shared" si="72"/>
        <v>0</v>
      </c>
      <c r="AT61" s="287">
        <f t="shared" si="73"/>
        <v>0</v>
      </c>
      <c r="AU61" s="287">
        <f t="shared" si="74"/>
        <v>0</v>
      </c>
      <c r="AV61" s="287">
        <f t="shared" si="75"/>
        <v>0</v>
      </c>
      <c r="AW61" s="287">
        <f t="shared" si="76"/>
        <v>0</v>
      </c>
      <c r="AY61" s="287">
        <f t="shared" si="77"/>
        <v>0</v>
      </c>
      <c r="AZ61" s="287">
        <f t="shared" si="78"/>
        <v>0</v>
      </c>
      <c r="BA61" s="287">
        <f t="shared" si="79"/>
        <v>0</v>
      </c>
      <c r="BB61" s="287">
        <f t="shared" si="80"/>
        <v>0</v>
      </c>
      <c r="BC61" s="287">
        <f t="shared" si="81"/>
        <v>0</v>
      </c>
      <c r="BD61" s="287">
        <f t="shared" si="82"/>
        <v>0</v>
      </c>
      <c r="BE61" s="287">
        <f t="shared" si="83"/>
        <v>0</v>
      </c>
      <c r="BG61" s="287">
        <f t="shared" si="84"/>
        <v>0</v>
      </c>
      <c r="BH61" s="287">
        <f t="shared" si="85"/>
        <v>0</v>
      </c>
      <c r="BI61" s="287">
        <f t="shared" si="86"/>
        <v>0</v>
      </c>
      <c r="BJ61" s="287">
        <f t="shared" si="87"/>
        <v>0</v>
      </c>
      <c r="BK61" s="290">
        <f t="shared" si="245"/>
        <v>0</v>
      </c>
      <c r="BL61" s="287">
        <f t="shared" si="88"/>
        <v>0</v>
      </c>
      <c r="BN61" s="287">
        <f t="shared" si="89"/>
        <v>0</v>
      </c>
      <c r="BO61" s="287">
        <f t="shared" si="90"/>
        <v>0</v>
      </c>
      <c r="BP61" s="287">
        <f t="shared" si="91"/>
        <v>0</v>
      </c>
      <c r="BQ61" s="287">
        <f t="shared" si="92"/>
        <v>0</v>
      </c>
      <c r="BR61" s="290">
        <f t="shared" si="246"/>
        <v>0</v>
      </c>
      <c r="BS61" s="287">
        <f t="shared" si="93"/>
        <v>0</v>
      </c>
    </row>
    <row r="62" spans="1:85" s="288" customFormat="1" ht="18" customHeight="1" x14ac:dyDescent="0.25">
      <c r="A62" s="370" t="s">
        <v>105</v>
      </c>
      <c r="B62" s="370" t="str">
        <f>'ADU-31'!B$3:E$3</f>
        <v>Performance énergétique</v>
      </c>
      <c r="C62" s="799" t="str">
        <f>'ADU-31'!$B$8</f>
        <v>Bâtiments communaux</v>
      </c>
      <c r="D62" s="800" t="str">
        <f>'ADU-31'!$B$9</f>
        <v>Economies d'énergie - Chauffage</v>
      </c>
      <c r="E62" s="800" t="str">
        <f>'ADU-31'!$B$4</f>
        <v>Communal</v>
      </c>
      <c r="F62" s="800" t="str">
        <f>'ADU-31'!$B$12</f>
        <v>AC MESSANCY</v>
      </c>
      <c r="G62" s="800" t="str">
        <f>'ADU-31'!$B$6</f>
        <v>Fonds propres</v>
      </c>
      <c r="H62" s="801">
        <f>'ADU-31'!$B$17</f>
        <v>60000</v>
      </c>
      <c r="I62" s="800" t="str">
        <f>'ADU-31'!$B$7</f>
        <v>Subs RW</v>
      </c>
      <c r="J62" s="801">
        <f>'ADU-31'!$B$18</f>
        <v>42000</v>
      </c>
      <c r="K62" s="801">
        <f>'ADU-31'!$B$21</f>
        <v>1725.2200000000003</v>
      </c>
      <c r="L62" s="801">
        <f>'ADU-31'!$B$22</f>
        <v>0</v>
      </c>
      <c r="M62" s="802">
        <f>'ADU-31'!$B$24</f>
        <v>10.433451965546421</v>
      </c>
      <c r="N62" s="803">
        <f>'ADU-31'!$B$25</f>
        <v>6.6100572000000009</v>
      </c>
      <c r="O62" s="804">
        <f t="shared" si="247"/>
        <v>0.36722540000000004</v>
      </c>
      <c r="P62" s="805" t="str">
        <f>'ADU-31'!$B$5</f>
        <v>A faire</v>
      </c>
      <c r="Q62" s="806">
        <f>'ADU-31'!$B$16</f>
        <v>2020</v>
      </c>
      <c r="R62" s="807" t="str">
        <f>IF(P62="terminé", N62,"")</f>
        <v/>
      </c>
      <c r="S62" s="287">
        <f t="shared" si="49"/>
        <v>0</v>
      </c>
      <c r="T62" s="287">
        <f t="shared" si="50"/>
        <v>0</v>
      </c>
      <c r="U62" s="287">
        <f t="shared" si="51"/>
        <v>0</v>
      </c>
      <c r="V62" s="287">
        <f t="shared" si="52"/>
        <v>0</v>
      </c>
      <c r="W62" s="287">
        <f t="shared" si="53"/>
        <v>0</v>
      </c>
      <c r="X62" s="287">
        <f t="shared" si="54"/>
        <v>0</v>
      </c>
      <c r="Y62" s="287">
        <f t="shared" si="55"/>
        <v>0</v>
      </c>
      <c r="AA62" s="287">
        <f t="shared" si="56"/>
        <v>0</v>
      </c>
      <c r="AB62" s="287">
        <f t="shared" si="57"/>
        <v>0</v>
      </c>
      <c r="AC62" s="287">
        <f t="shared" si="58"/>
        <v>0</v>
      </c>
      <c r="AD62" s="287">
        <f t="shared" si="59"/>
        <v>0</v>
      </c>
      <c r="AE62" s="287">
        <f t="shared" si="60"/>
        <v>0</v>
      </c>
      <c r="AF62" s="287">
        <f t="shared" si="61"/>
        <v>0</v>
      </c>
      <c r="AG62" s="287">
        <f t="shared" si="62"/>
        <v>0</v>
      </c>
      <c r="AI62" s="287">
        <f t="shared" si="63"/>
        <v>0</v>
      </c>
      <c r="AJ62" s="287">
        <f t="shared" si="64"/>
        <v>0</v>
      </c>
      <c r="AK62" s="287">
        <f t="shared" si="65"/>
        <v>0</v>
      </c>
      <c r="AL62" s="287">
        <f t="shared" si="66"/>
        <v>0</v>
      </c>
      <c r="AM62" s="287">
        <f t="shared" si="67"/>
        <v>0</v>
      </c>
      <c r="AN62" s="287">
        <f t="shared" si="68"/>
        <v>0</v>
      </c>
      <c r="AO62" s="287">
        <f t="shared" si="69"/>
        <v>0</v>
      </c>
      <c r="AQ62" s="287">
        <f t="shared" si="70"/>
        <v>0</v>
      </c>
      <c r="AR62" s="287">
        <f t="shared" si="71"/>
        <v>0</v>
      </c>
      <c r="AS62" s="287">
        <f t="shared" si="72"/>
        <v>0</v>
      </c>
      <c r="AT62" s="287">
        <f t="shared" si="73"/>
        <v>0</v>
      </c>
      <c r="AU62" s="287">
        <f t="shared" si="74"/>
        <v>0</v>
      </c>
      <c r="AV62" s="287">
        <f t="shared" si="75"/>
        <v>0</v>
      </c>
      <c r="AW62" s="287">
        <f t="shared" si="76"/>
        <v>0</v>
      </c>
      <c r="AY62" s="287">
        <f t="shared" si="77"/>
        <v>0</v>
      </c>
      <c r="AZ62" s="287">
        <f t="shared" si="78"/>
        <v>0</v>
      </c>
      <c r="BA62" s="287">
        <f t="shared" si="79"/>
        <v>0</v>
      </c>
      <c r="BB62" s="287">
        <f t="shared" si="80"/>
        <v>0</v>
      </c>
      <c r="BC62" s="287">
        <f t="shared" si="81"/>
        <v>0</v>
      </c>
      <c r="BD62" s="287">
        <f t="shared" si="82"/>
        <v>0</v>
      </c>
      <c r="BE62" s="287">
        <f t="shared" si="83"/>
        <v>0</v>
      </c>
      <c r="BG62" s="287">
        <f t="shared" si="84"/>
        <v>0</v>
      </c>
      <c r="BH62" s="287">
        <f t="shared" si="85"/>
        <v>0</v>
      </c>
      <c r="BI62" s="287">
        <f t="shared" si="86"/>
        <v>0</v>
      </c>
      <c r="BJ62" s="287">
        <f t="shared" si="87"/>
        <v>0</v>
      </c>
      <c r="BK62" s="290">
        <f t="shared" si="245"/>
        <v>0</v>
      </c>
      <c r="BL62" s="287">
        <f t="shared" si="88"/>
        <v>0</v>
      </c>
      <c r="BN62" s="287">
        <f t="shared" si="89"/>
        <v>0</v>
      </c>
      <c r="BO62" s="287">
        <f t="shared" si="90"/>
        <v>0</v>
      </c>
      <c r="BP62" s="287">
        <f t="shared" si="91"/>
        <v>0</v>
      </c>
      <c r="BQ62" s="287">
        <f t="shared" si="92"/>
        <v>0</v>
      </c>
      <c r="BR62" s="290">
        <f t="shared" si="246"/>
        <v>0</v>
      </c>
      <c r="BS62" s="287">
        <f t="shared" si="93"/>
        <v>0</v>
      </c>
    </row>
    <row r="63" spans="1:85" s="845" customFormat="1" ht="18" customHeight="1" x14ac:dyDescent="0.25">
      <c r="A63" s="834" t="s">
        <v>112</v>
      </c>
      <c r="B63" s="834" t="str">
        <f>'ADU-32'!B$3:E$3</f>
        <v>Performance énergétique</v>
      </c>
      <c r="C63" s="860" t="str">
        <f>'ADU-32'!$B$8</f>
        <v>URE</v>
      </c>
      <c r="D63" s="836" t="str">
        <f>'ADU-32'!$B$9</f>
        <v>Actions URE - Electricité</v>
      </c>
      <c r="E63" s="836" t="str">
        <f>'ADU-32'!$B$4</f>
        <v>Communal</v>
      </c>
      <c r="F63" s="836" t="str">
        <f>'ADU-32'!$B$12</f>
        <v>AC MESSANCY</v>
      </c>
      <c r="G63" s="836" t="str">
        <f>'ADU-32'!$B$6</f>
        <v>Néant</v>
      </c>
      <c r="H63" s="837">
        <f>'ADU-32'!$B$17</f>
        <v>0</v>
      </c>
      <c r="I63" s="836" t="str">
        <f>'ADU-32'!$B$7</f>
        <v>Néant</v>
      </c>
      <c r="J63" s="837">
        <f>'ADU-32'!$B$18</f>
        <v>0</v>
      </c>
      <c r="K63" s="837">
        <f>'ADU-32'!$B$21</f>
        <v>0</v>
      </c>
      <c r="L63" s="837">
        <f>'ADU-32'!$B$22</f>
        <v>0</v>
      </c>
      <c r="M63" s="838" t="e">
        <f>'ADU-32'!$B$24</f>
        <v>#DIV/0!</v>
      </c>
      <c r="N63" s="839">
        <f>'ADU-32'!$B$25</f>
        <v>0</v>
      </c>
      <c r="O63" s="840">
        <f t="shared" si="247"/>
        <v>0</v>
      </c>
      <c r="P63" s="841" t="str">
        <f>'ADU-32'!$B$5</f>
        <v>Ne pas réaliser</v>
      </c>
      <c r="Q63" s="842">
        <f>'ADU-32'!$B$16</f>
        <v>0</v>
      </c>
      <c r="R63" s="843" t="str">
        <f>IF(P63="terminé", N63,"")</f>
        <v/>
      </c>
      <c r="S63" s="844">
        <f t="shared" si="49"/>
        <v>0</v>
      </c>
      <c r="T63" s="844">
        <f t="shared" si="50"/>
        <v>0</v>
      </c>
      <c r="U63" s="844">
        <f t="shared" si="51"/>
        <v>0</v>
      </c>
      <c r="V63" s="844">
        <f t="shared" si="52"/>
        <v>0</v>
      </c>
      <c r="W63" s="844">
        <f t="shared" si="53"/>
        <v>0</v>
      </c>
      <c r="X63" s="844">
        <f t="shared" si="54"/>
        <v>0</v>
      </c>
      <c r="Y63" s="844">
        <f t="shared" si="55"/>
        <v>0</v>
      </c>
      <c r="AA63" s="844">
        <f t="shared" si="56"/>
        <v>0</v>
      </c>
      <c r="AB63" s="844">
        <f t="shared" si="57"/>
        <v>0</v>
      </c>
      <c r="AC63" s="844">
        <f t="shared" si="58"/>
        <v>0</v>
      </c>
      <c r="AD63" s="844">
        <f t="shared" si="59"/>
        <v>0</v>
      </c>
      <c r="AE63" s="844">
        <f t="shared" si="60"/>
        <v>0</v>
      </c>
      <c r="AF63" s="844">
        <f t="shared" si="61"/>
        <v>0</v>
      </c>
      <c r="AG63" s="844">
        <f t="shared" si="62"/>
        <v>0</v>
      </c>
      <c r="AI63" s="844">
        <f t="shared" si="63"/>
        <v>0</v>
      </c>
      <c r="AJ63" s="844">
        <f t="shared" si="64"/>
        <v>0</v>
      </c>
      <c r="AK63" s="844">
        <f t="shared" si="65"/>
        <v>0</v>
      </c>
      <c r="AL63" s="844">
        <f t="shared" si="66"/>
        <v>0</v>
      </c>
      <c r="AM63" s="844">
        <f t="shared" si="67"/>
        <v>0</v>
      </c>
      <c r="AN63" s="844">
        <f t="shared" si="68"/>
        <v>0</v>
      </c>
      <c r="AO63" s="844">
        <f t="shared" si="69"/>
        <v>0</v>
      </c>
      <c r="AQ63" s="844">
        <f t="shared" si="70"/>
        <v>0</v>
      </c>
      <c r="AR63" s="844">
        <f t="shared" si="71"/>
        <v>0</v>
      </c>
      <c r="AS63" s="844">
        <f t="shared" si="72"/>
        <v>0</v>
      </c>
      <c r="AT63" s="844">
        <f t="shared" si="73"/>
        <v>0</v>
      </c>
      <c r="AU63" s="844">
        <f t="shared" si="74"/>
        <v>0</v>
      </c>
      <c r="AV63" s="844">
        <f t="shared" si="75"/>
        <v>0</v>
      </c>
      <c r="AW63" s="844">
        <f t="shared" si="76"/>
        <v>0</v>
      </c>
      <c r="AY63" s="844">
        <f t="shared" si="77"/>
        <v>0</v>
      </c>
      <c r="AZ63" s="844">
        <f t="shared" si="78"/>
        <v>0</v>
      </c>
      <c r="BA63" s="844">
        <f t="shared" si="79"/>
        <v>0</v>
      </c>
      <c r="BB63" s="844">
        <f t="shared" si="80"/>
        <v>0</v>
      </c>
      <c r="BC63" s="844">
        <f t="shared" si="81"/>
        <v>0</v>
      </c>
      <c r="BD63" s="844">
        <f t="shared" si="82"/>
        <v>0</v>
      </c>
      <c r="BE63" s="844">
        <f t="shared" si="83"/>
        <v>0</v>
      </c>
      <c r="BG63" s="844">
        <f t="shared" si="84"/>
        <v>0</v>
      </c>
      <c r="BH63" s="844">
        <f t="shared" si="85"/>
        <v>0</v>
      </c>
      <c r="BI63" s="844">
        <f t="shared" si="86"/>
        <v>0</v>
      </c>
      <c r="BJ63" s="844">
        <f t="shared" si="87"/>
        <v>0</v>
      </c>
      <c r="BK63" s="846">
        <f t="shared" si="245"/>
        <v>0</v>
      </c>
      <c r="BL63" s="844">
        <f t="shared" si="88"/>
        <v>0</v>
      </c>
      <c r="BN63" s="844">
        <f t="shared" si="89"/>
        <v>0</v>
      </c>
      <c r="BO63" s="844">
        <f t="shared" si="90"/>
        <v>0</v>
      </c>
      <c r="BP63" s="844">
        <f t="shared" si="91"/>
        <v>0</v>
      </c>
      <c r="BQ63" s="844">
        <f t="shared" si="92"/>
        <v>0</v>
      </c>
      <c r="BR63" s="846">
        <f t="shared" si="246"/>
        <v>0</v>
      </c>
      <c r="BS63" s="844">
        <f t="shared" si="93"/>
        <v>0</v>
      </c>
    </row>
    <row r="64" spans="1:85" s="924" customFormat="1" ht="18" customHeight="1" x14ac:dyDescent="0.25">
      <c r="A64" s="913" t="s">
        <v>113</v>
      </c>
      <c r="B64" s="913" t="str">
        <f>'ADU-33'!B$3:E$3</f>
        <v>Performance énergétique</v>
      </c>
      <c r="C64" s="914" t="str">
        <f>'ADU-33'!$B$8</f>
        <v>Logement</v>
      </c>
      <c r="D64" s="915" t="str">
        <f>'ADU-33'!$B$9</f>
        <v>Chaudières au propane</v>
      </c>
      <c r="E64" s="915" t="str">
        <f>'ADU-33'!$B$4</f>
        <v>Logement</v>
      </c>
      <c r="F64" s="915" t="str">
        <f>'ADU-33'!$B$12</f>
        <v>Citoyen</v>
      </c>
      <c r="G64" s="915" t="str">
        <f>'ADU-33'!$B$6</f>
        <v>Fonds propres</v>
      </c>
      <c r="H64" s="916">
        <f>'ADU-33'!$B$17</f>
        <v>500000</v>
      </c>
      <c r="I64" s="915" t="str">
        <f>'ADU-33'!$B$7</f>
        <v>Néant</v>
      </c>
      <c r="J64" s="916">
        <f>'ADU-33'!$B$18</f>
        <v>0</v>
      </c>
      <c r="K64" s="916">
        <f>'ADU-33'!$B$21</f>
        <v>38969.21058897012</v>
      </c>
      <c r="L64" s="916">
        <f>'ADU-33'!$B$22</f>
        <v>0</v>
      </c>
      <c r="M64" s="917">
        <f>'ADU-33'!$B$24</f>
        <v>12.830642254311419</v>
      </c>
      <c r="N64" s="918">
        <f>'ADU-33'!$B$25</f>
        <v>89.928947513008026</v>
      </c>
      <c r="O64" s="919">
        <f t="shared" si="247"/>
        <v>0.17985789502601607</v>
      </c>
      <c r="P64" s="920" t="str">
        <f>'ADU-33'!$B$5</f>
        <v>A faire</v>
      </c>
      <c r="Q64" s="921">
        <f>'ADU-33'!$B$16</f>
        <v>2030</v>
      </c>
      <c r="R64" s="922" t="str">
        <f>IF(P64="terminé", N64,"")</f>
        <v/>
      </c>
      <c r="S64" s="923">
        <f t="shared" si="49"/>
        <v>0</v>
      </c>
      <c r="T64" s="923">
        <f t="shared" si="50"/>
        <v>0</v>
      </c>
      <c r="U64" s="923">
        <f t="shared" si="51"/>
        <v>0</v>
      </c>
      <c r="V64" s="923">
        <f t="shared" si="52"/>
        <v>0</v>
      </c>
      <c r="W64" s="923">
        <f t="shared" si="53"/>
        <v>0</v>
      </c>
      <c r="X64" s="923">
        <f t="shared" si="54"/>
        <v>0</v>
      </c>
      <c r="Y64" s="923">
        <f t="shared" si="55"/>
        <v>0</v>
      </c>
      <c r="AA64" s="923">
        <f t="shared" si="56"/>
        <v>0</v>
      </c>
      <c r="AB64" s="923">
        <f t="shared" si="57"/>
        <v>0</v>
      </c>
      <c r="AC64" s="923">
        <f t="shared" si="58"/>
        <v>0</v>
      </c>
      <c r="AD64" s="923">
        <f t="shared" si="59"/>
        <v>0</v>
      </c>
      <c r="AE64" s="923">
        <f t="shared" si="60"/>
        <v>0</v>
      </c>
      <c r="AF64" s="923">
        <f t="shared" si="61"/>
        <v>0</v>
      </c>
      <c r="AG64" s="923">
        <f t="shared" si="62"/>
        <v>0</v>
      </c>
      <c r="AI64" s="923">
        <f t="shared" si="63"/>
        <v>0</v>
      </c>
      <c r="AJ64" s="923">
        <f t="shared" si="64"/>
        <v>0</v>
      </c>
      <c r="AK64" s="923">
        <f t="shared" si="65"/>
        <v>0</v>
      </c>
      <c r="AL64" s="923">
        <f t="shared" si="66"/>
        <v>0</v>
      </c>
      <c r="AM64" s="923">
        <f t="shared" si="67"/>
        <v>0</v>
      </c>
      <c r="AN64" s="923">
        <f t="shared" si="68"/>
        <v>0</v>
      </c>
      <c r="AO64" s="923">
        <f t="shared" si="69"/>
        <v>0</v>
      </c>
      <c r="AQ64" s="923">
        <f t="shared" si="70"/>
        <v>0</v>
      </c>
      <c r="AR64" s="923">
        <f t="shared" si="71"/>
        <v>0</v>
      </c>
      <c r="AS64" s="923">
        <f t="shared" si="72"/>
        <v>0</v>
      </c>
      <c r="AT64" s="923">
        <f t="shared" si="73"/>
        <v>0</v>
      </c>
      <c r="AU64" s="923">
        <f t="shared" si="74"/>
        <v>0</v>
      </c>
      <c r="AV64" s="923">
        <f t="shared" si="75"/>
        <v>0</v>
      </c>
      <c r="AW64" s="923">
        <f t="shared" si="76"/>
        <v>0</v>
      </c>
      <c r="AY64" s="923">
        <f t="shared" si="77"/>
        <v>0</v>
      </c>
      <c r="AZ64" s="923">
        <f t="shared" si="78"/>
        <v>0</v>
      </c>
      <c r="BA64" s="923">
        <f t="shared" si="79"/>
        <v>0</v>
      </c>
      <c r="BB64" s="923">
        <f t="shared" si="80"/>
        <v>0</v>
      </c>
      <c r="BC64" s="923">
        <f t="shared" si="81"/>
        <v>0</v>
      </c>
      <c r="BD64" s="923">
        <f t="shared" si="82"/>
        <v>0</v>
      </c>
      <c r="BE64" s="923">
        <f t="shared" si="83"/>
        <v>0</v>
      </c>
      <c r="BG64" s="923">
        <f t="shared" si="84"/>
        <v>0</v>
      </c>
      <c r="BH64" s="923">
        <f t="shared" si="85"/>
        <v>0</v>
      </c>
      <c r="BI64" s="923">
        <f t="shared" si="86"/>
        <v>0</v>
      </c>
      <c r="BJ64" s="923">
        <f t="shared" si="87"/>
        <v>0</v>
      </c>
      <c r="BK64" s="925">
        <f t="shared" si="245"/>
        <v>0</v>
      </c>
      <c r="BL64" s="923">
        <f t="shared" si="88"/>
        <v>0</v>
      </c>
      <c r="BN64" s="923">
        <f t="shared" si="89"/>
        <v>0</v>
      </c>
      <c r="BO64" s="923">
        <f t="shared" si="90"/>
        <v>0</v>
      </c>
      <c r="BP64" s="923">
        <f t="shared" si="91"/>
        <v>0</v>
      </c>
      <c r="BQ64" s="923">
        <f t="shared" si="92"/>
        <v>0</v>
      </c>
      <c r="BR64" s="925">
        <f t="shared" si="246"/>
        <v>0</v>
      </c>
      <c r="BS64" s="923">
        <f t="shared" si="93"/>
        <v>0</v>
      </c>
    </row>
    <row r="65" spans="1:71" s="924" customFormat="1" ht="18" customHeight="1" x14ac:dyDescent="0.25">
      <c r="A65" s="913" t="s">
        <v>114</v>
      </c>
      <c r="B65" s="913" t="str">
        <f>'ADU-34'!B$3:E$3</f>
        <v>Performance énergétique</v>
      </c>
      <c r="C65" s="914" t="str">
        <f>'ADU-34'!$B$8</f>
        <v>Logement</v>
      </c>
      <c r="D65" s="915" t="str">
        <f>'ADU-34'!$B$9</f>
        <v>Chaudières au gaz naturel</v>
      </c>
      <c r="E65" s="915" t="str">
        <f>'ADU-34'!$B$4</f>
        <v>Logement</v>
      </c>
      <c r="F65" s="915" t="str">
        <f>'ADU-34'!$B$12</f>
        <v>Citoyen</v>
      </c>
      <c r="G65" s="915" t="str">
        <f>'ADU-34'!$B$6</f>
        <v>Fonds propres</v>
      </c>
      <c r="H65" s="916">
        <f>'ADU-34'!$B$17</f>
        <v>500000</v>
      </c>
      <c r="I65" s="915" t="str">
        <f>'ADU-34'!$B$7</f>
        <v>Néant</v>
      </c>
      <c r="J65" s="916">
        <f>'ADU-34'!$B$18</f>
        <v>0</v>
      </c>
      <c r="K65" s="916">
        <f>'ADU-34'!$B$21</f>
        <v>38969.21058897012</v>
      </c>
      <c r="L65" s="916">
        <f>'ADU-34'!$B$22</f>
        <v>0</v>
      </c>
      <c r="M65" s="917">
        <f>'ADU-34'!$B$24</f>
        <v>12.830642254311419</v>
      </c>
      <c r="N65" s="918">
        <f>'ADU-34'!$B$25</f>
        <v>100.0309659503026</v>
      </c>
      <c r="O65" s="919">
        <f t="shared" ref="O65:O66" si="297">IF(H65=0,0,N65/(H65-J65)*1000)</f>
        <v>0.2000619319006052</v>
      </c>
      <c r="P65" s="920" t="str">
        <f>'ADU-34'!$B$5</f>
        <v>A faire</v>
      </c>
      <c r="Q65" s="921">
        <f>'ADU-34'!$B$16</f>
        <v>2030</v>
      </c>
      <c r="R65" s="922" t="str">
        <f t="shared" ref="R65:R66" si="298">IF(P65="terminé", N65,"")</f>
        <v/>
      </c>
      <c r="S65" s="923">
        <f t="shared" ref="S65:S66" si="299">IF((P65="Terminé")*AND(E65="Territoire"),N65,0)</f>
        <v>0</v>
      </c>
      <c r="T65" s="923">
        <f t="shared" ref="T65:T66" si="300">IF((P65="Terminé")*AND(E65="Agriculture"),N65,0)</f>
        <v>0</v>
      </c>
      <c r="U65" s="923">
        <f t="shared" ref="U65:U66" si="301">IF((P65="Terminé")*AND(E65="Industrie"), N65,0)</f>
        <v>0</v>
      </c>
      <c r="V65" s="923">
        <f t="shared" ref="V65:V66" si="302">IF((P65="Terminé")*AND(E65="Logement"),N65,0)</f>
        <v>0</v>
      </c>
      <c r="W65" s="923">
        <f t="shared" ref="W65:W66" si="303">IF((P65="Terminé")*AND(E65="Tertiaire"),N65,0)</f>
        <v>0</v>
      </c>
      <c r="X65" s="923">
        <f t="shared" ref="X65:X66" si="304">IF((P65="Terminé")*AND(E65="Transport"),N65,0)</f>
        <v>0</v>
      </c>
      <c r="Y65" s="923">
        <f t="shared" ref="Y65:Y66" si="305">IF((P65="Terminé")*AND(E65="Communal"),N65,0)</f>
        <v>0</v>
      </c>
      <c r="AA65" s="923">
        <f t="shared" ref="AA65:AA66" si="306">IF((P65="Terminé")*AND(E65="Territoire"),H65,0)</f>
        <v>0</v>
      </c>
      <c r="AB65" s="923">
        <f t="shared" ref="AB65:AB66" si="307">IF((P65="Terminé")*AND(E65="Agriculture"),H65,0)</f>
        <v>0</v>
      </c>
      <c r="AC65" s="923">
        <f t="shared" ref="AC65:AC66" si="308">IF((P65="Terminé")*AND(E65="Industrie"), H65,0)</f>
        <v>0</v>
      </c>
      <c r="AD65" s="923">
        <f t="shared" ref="AD65:AD66" si="309">IF((P65="Terminé")*AND(E65="Logement"), H65,0)</f>
        <v>0</v>
      </c>
      <c r="AE65" s="923">
        <f t="shared" ref="AE65:AE66" si="310">IF((P65="Terminé")*AND(E65="Tertiaire"),H65,0)</f>
        <v>0</v>
      </c>
      <c r="AF65" s="923">
        <f t="shared" ref="AF65:AF66" si="311">IF((P65="Terminé")*AND(E65="Transport"),H65,0)</f>
        <v>0</v>
      </c>
      <c r="AG65" s="923">
        <f t="shared" ref="AG65:AG66" si="312">IF((P65="Terminé")*AND(E65="Communal"),H65,0)</f>
        <v>0</v>
      </c>
      <c r="AI65" s="923">
        <f t="shared" ref="AI65:AI66" si="313">IF((P65="Terminé")*AND(E65="Territoire"),J65,0)</f>
        <v>0</v>
      </c>
      <c r="AJ65" s="923">
        <f t="shared" ref="AJ65:AJ66" si="314">IF((P65="Terminé")*AND(E65="Agriculture"),J65,0)</f>
        <v>0</v>
      </c>
      <c r="AK65" s="923">
        <f t="shared" ref="AK65:AK66" si="315">IF((P65="Terminé")*AND(E65="Industrie"), J65,0)</f>
        <v>0</v>
      </c>
      <c r="AL65" s="923">
        <f t="shared" ref="AL65:AL66" si="316">IF((P65="Terminé")*AND(E65="Logement"), J65,0)</f>
        <v>0</v>
      </c>
      <c r="AM65" s="923">
        <f t="shared" ref="AM65:AM66" si="317">IF((P65="Terminé")*AND(E65="Tertiaire"),J65,0)</f>
        <v>0</v>
      </c>
      <c r="AN65" s="923">
        <f t="shared" ref="AN65:AN66" si="318">IF((P65="Terminé")*AND(E65="Transport"),J65,0)</f>
        <v>0</v>
      </c>
      <c r="AO65" s="923">
        <f t="shared" ref="AO65:AO66" si="319">IF((P65="Terminé")*AND(E65="Communal"),J65,0)</f>
        <v>0</v>
      </c>
      <c r="AQ65" s="923">
        <f t="shared" ref="AQ65:AQ66" si="320">IF((P65="Terminé")*AND(E65="Territoire"),K65,0)</f>
        <v>0</v>
      </c>
      <c r="AR65" s="923">
        <f t="shared" ref="AR65:AR66" si="321">IF((P65="Terminé")*AND(E65="Agriculture"),K65,0)</f>
        <v>0</v>
      </c>
      <c r="AS65" s="923">
        <f t="shared" ref="AS65:AS66" si="322">IF((P65="Terminé")*AND(E65="Industrie"), K65,0)</f>
        <v>0</v>
      </c>
      <c r="AT65" s="923">
        <f t="shared" ref="AT65:AT66" si="323">IF((P65="Terminé")*AND(E65="Logement"), K65,0)</f>
        <v>0</v>
      </c>
      <c r="AU65" s="923">
        <f t="shared" ref="AU65:AU66" si="324">IF((P65="Terminé")*AND(E65="Tertiaire"),K65,0)</f>
        <v>0</v>
      </c>
      <c r="AV65" s="923">
        <f t="shared" ref="AV65:AV66" si="325">IF((P65="Terminé")*AND(E65="Transport"),K65,0)</f>
        <v>0</v>
      </c>
      <c r="AW65" s="923">
        <f t="shared" ref="AW65:AW66" si="326">IF((P65="Terminé")*AND(E65="Communal"),K65,0)</f>
        <v>0</v>
      </c>
      <c r="AY65" s="923">
        <f t="shared" ref="AY65:AY66" si="327">IF((P65="Terminé")*AND(E65="Territoire"),L65,0)</f>
        <v>0</v>
      </c>
      <c r="AZ65" s="923">
        <f t="shared" ref="AZ65:AZ66" si="328">IF((P65="Terminé")*AND(E65="Agriculture"),L65,0)</f>
        <v>0</v>
      </c>
      <c r="BA65" s="923">
        <f t="shared" ref="BA65:BA66" si="329">IF((P65="Terminé")*AND(E65="Industrie"), L65,0)</f>
        <v>0</v>
      </c>
      <c r="BB65" s="923">
        <f t="shared" ref="BB65:BB66" si="330">IF((P65="Terminé")*AND(E65="Logement"), L65,0)</f>
        <v>0</v>
      </c>
      <c r="BC65" s="923">
        <f t="shared" ref="BC65:BC66" si="331">IF((P65="Terminé")*AND(E65="Tertiaire"),L65,0)</f>
        <v>0</v>
      </c>
      <c r="BD65" s="923">
        <f t="shared" ref="BD65:BD66" si="332">IF((P65="Terminé")*AND(E65="Transport"),L65,0)</f>
        <v>0</v>
      </c>
      <c r="BE65" s="923">
        <f t="shared" ref="BE65:BE66" si="333">IF((P65="Terminé")*AND(E65="Communal"),L65,0)</f>
        <v>0</v>
      </c>
      <c r="BG65" s="923">
        <f t="shared" ref="BG65:BG66" si="334">IF((P65="Terminé")*AND(F65="Agriculture"),H65,0)</f>
        <v>0</v>
      </c>
      <c r="BH65" s="923">
        <f t="shared" ref="BH65:BH66" si="335">IF((P65="Terminé")*AND(F65="Industrie"),H65,0)</f>
        <v>0</v>
      </c>
      <c r="BI65" s="923">
        <f t="shared" ref="BI65:BI66" si="336">IF((P65="Terminé")*AND(F65="Citoyen"), H65,0)</f>
        <v>0</v>
      </c>
      <c r="BJ65" s="923">
        <f t="shared" ref="BJ65:BJ66" si="337">IF((P65="Terminé")*AND(F65="IDELUX"), H65,0)</f>
        <v>0</v>
      </c>
      <c r="BK65" s="925">
        <f t="shared" ref="BK65:BK66" si="338">IF((P65="Terminé")*AND(F65="AC MESSANCY"),H65,0)</f>
        <v>0</v>
      </c>
      <c r="BL65" s="923">
        <f t="shared" ref="BL65:BL66" si="339">IF((P65="Terminé")*AND(F65="Tertiaire"),H65,0)</f>
        <v>0</v>
      </c>
      <c r="BN65" s="923">
        <f t="shared" ref="BN65:BN66" si="340">IF((P65="Terminé")*AND(F65="Agriculture"),J65,0)</f>
        <v>0</v>
      </c>
      <c r="BO65" s="923">
        <f t="shared" ref="BO65:BO66" si="341">IF((P65="Terminé")*AND(F65="Industrie"),J65,0)</f>
        <v>0</v>
      </c>
      <c r="BP65" s="923">
        <f t="shared" ref="BP65:BP66" si="342">IF((P65="Terminé")*AND(F65="Citoyen"), J65,0)</f>
        <v>0</v>
      </c>
      <c r="BQ65" s="923">
        <f t="shared" ref="BQ65:BQ66" si="343">IF((P65="Terminé")*AND(F65="IDELUX"), J65,0)</f>
        <v>0</v>
      </c>
      <c r="BR65" s="925">
        <f t="shared" ref="BR65:BR66" si="344">IF((P65="Terminé")*AND(F65="AC MESSANCY"),J65,0)</f>
        <v>0</v>
      </c>
      <c r="BS65" s="923">
        <f t="shared" ref="BS65:BS66" si="345">IF((P65="Terminé")*AND(F65="Tertiaire"),J65,0)</f>
        <v>0</v>
      </c>
    </row>
    <row r="66" spans="1:71" s="858" customFormat="1" ht="18" customHeight="1" x14ac:dyDescent="0.25">
      <c r="A66" s="847" t="s">
        <v>116</v>
      </c>
      <c r="B66" s="847" t="str">
        <f>'ADU-35'!B$3:E$3</f>
        <v>Performance énergétique</v>
      </c>
      <c r="C66" s="848">
        <f>'ADU-35'!$B$8</f>
        <v>0</v>
      </c>
      <c r="D66" s="849">
        <f>'ADU-35'!$B$9</f>
        <v>0</v>
      </c>
      <c r="E66" s="849" t="str">
        <f>'ADU-35'!$B$4</f>
        <v>Logement</v>
      </c>
      <c r="F66" s="849">
        <f>'ADU-35'!$B$12</f>
        <v>0</v>
      </c>
      <c r="G66" s="849" t="str">
        <f>'ADU-35'!$B$6</f>
        <v>Fonds propres</v>
      </c>
      <c r="H66" s="850">
        <f>'ADU-35'!$B$17</f>
        <v>0</v>
      </c>
      <c r="I66" s="849" t="str">
        <f>'ADU-35'!$B$7</f>
        <v>Néant</v>
      </c>
      <c r="J66" s="850">
        <f>'ADU-35'!$B$18</f>
        <v>0</v>
      </c>
      <c r="K66" s="850">
        <f>'ADU-35'!$B$21</f>
        <v>0</v>
      </c>
      <c r="L66" s="850">
        <f>'ADU-35'!$B$22</f>
        <v>0</v>
      </c>
      <c r="M66" s="851" t="e">
        <f>'ADU-35'!$B$24</f>
        <v>#DIV/0!</v>
      </c>
      <c r="N66" s="852">
        <f>'ADU-35'!$B$25</f>
        <v>0</v>
      </c>
      <c r="O66" s="853">
        <f t="shared" si="297"/>
        <v>0</v>
      </c>
      <c r="P66" s="854" t="str">
        <f>'ADU-35'!$B$5</f>
        <v>A faire</v>
      </c>
      <c r="Q66" s="855">
        <f>'ADU-35'!$B$16</f>
        <v>0</v>
      </c>
      <c r="R66" s="856" t="str">
        <f t="shared" si="298"/>
        <v/>
      </c>
      <c r="S66" s="857">
        <f t="shared" si="299"/>
        <v>0</v>
      </c>
      <c r="T66" s="857">
        <f t="shared" si="300"/>
        <v>0</v>
      </c>
      <c r="U66" s="857">
        <f t="shared" si="301"/>
        <v>0</v>
      </c>
      <c r="V66" s="857">
        <f t="shared" si="302"/>
        <v>0</v>
      </c>
      <c r="W66" s="857">
        <f t="shared" si="303"/>
        <v>0</v>
      </c>
      <c r="X66" s="857">
        <f t="shared" si="304"/>
        <v>0</v>
      </c>
      <c r="Y66" s="857">
        <f t="shared" si="305"/>
        <v>0</v>
      </c>
      <c r="AA66" s="857">
        <f t="shared" si="306"/>
        <v>0</v>
      </c>
      <c r="AB66" s="857">
        <f t="shared" si="307"/>
        <v>0</v>
      </c>
      <c r="AC66" s="857">
        <f t="shared" si="308"/>
        <v>0</v>
      </c>
      <c r="AD66" s="857">
        <f t="shared" si="309"/>
        <v>0</v>
      </c>
      <c r="AE66" s="857">
        <f t="shared" si="310"/>
        <v>0</v>
      </c>
      <c r="AF66" s="857">
        <f t="shared" si="311"/>
        <v>0</v>
      </c>
      <c r="AG66" s="857">
        <f t="shared" si="312"/>
        <v>0</v>
      </c>
      <c r="AI66" s="857">
        <f t="shared" si="313"/>
        <v>0</v>
      </c>
      <c r="AJ66" s="857">
        <f t="shared" si="314"/>
        <v>0</v>
      </c>
      <c r="AK66" s="857">
        <f t="shared" si="315"/>
        <v>0</v>
      </c>
      <c r="AL66" s="857">
        <f t="shared" si="316"/>
        <v>0</v>
      </c>
      <c r="AM66" s="857">
        <f t="shared" si="317"/>
        <v>0</v>
      </c>
      <c r="AN66" s="857">
        <f t="shared" si="318"/>
        <v>0</v>
      </c>
      <c r="AO66" s="857">
        <f t="shared" si="319"/>
        <v>0</v>
      </c>
      <c r="AQ66" s="857">
        <f t="shared" si="320"/>
        <v>0</v>
      </c>
      <c r="AR66" s="857">
        <f t="shared" si="321"/>
        <v>0</v>
      </c>
      <c r="AS66" s="857">
        <f t="shared" si="322"/>
        <v>0</v>
      </c>
      <c r="AT66" s="857">
        <f t="shared" si="323"/>
        <v>0</v>
      </c>
      <c r="AU66" s="857">
        <f t="shared" si="324"/>
        <v>0</v>
      </c>
      <c r="AV66" s="857">
        <f t="shared" si="325"/>
        <v>0</v>
      </c>
      <c r="AW66" s="857">
        <f t="shared" si="326"/>
        <v>0</v>
      </c>
      <c r="AY66" s="857">
        <f t="shared" si="327"/>
        <v>0</v>
      </c>
      <c r="AZ66" s="857">
        <f t="shared" si="328"/>
        <v>0</v>
      </c>
      <c r="BA66" s="857">
        <f t="shared" si="329"/>
        <v>0</v>
      </c>
      <c r="BB66" s="857">
        <f t="shared" si="330"/>
        <v>0</v>
      </c>
      <c r="BC66" s="857">
        <f t="shared" si="331"/>
        <v>0</v>
      </c>
      <c r="BD66" s="857">
        <f t="shared" si="332"/>
        <v>0</v>
      </c>
      <c r="BE66" s="857">
        <f t="shared" si="333"/>
        <v>0</v>
      </c>
      <c r="BG66" s="857">
        <f t="shared" si="334"/>
        <v>0</v>
      </c>
      <c r="BH66" s="857">
        <f t="shared" si="335"/>
        <v>0</v>
      </c>
      <c r="BI66" s="857">
        <f t="shared" si="336"/>
        <v>0</v>
      </c>
      <c r="BJ66" s="857">
        <f t="shared" si="337"/>
        <v>0</v>
      </c>
      <c r="BK66" s="859">
        <f t="shared" si="338"/>
        <v>0</v>
      </c>
      <c r="BL66" s="857">
        <f t="shared" si="339"/>
        <v>0</v>
      </c>
      <c r="BN66" s="857">
        <f t="shared" si="340"/>
        <v>0</v>
      </c>
      <c r="BO66" s="857">
        <f t="shared" si="341"/>
        <v>0</v>
      </c>
      <c r="BP66" s="857">
        <f t="shared" si="342"/>
        <v>0</v>
      </c>
      <c r="BQ66" s="857">
        <f t="shared" si="343"/>
        <v>0</v>
      </c>
      <c r="BR66" s="859">
        <f t="shared" si="344"/>
        <v>0</v>
      </c>
      <c r="BS66" s="857">
        <f t="shared" si="345"/>
        <v>0</v>
      </c>
    </row>
    <row r="67" spans="1:71" s="819" customFormat="1" ht="18" customHeight="1" x14ac:dyDescent="0.25">
      <c r="A67" s="808" t="s">
        <v>812</v>
      </c>
      <c r="B67" s="808" t="str">
        <f>'ADU-50'!B$3:E$3</f>
        <v>Mobilité</v>
      </c>
      <c r="C67" s="809" t="str">
        <f>'ADU-50'!$B$8</f>
        <v>Transport</v>
      </c>
      <c r="D67" s="810" t="str">
        <f>'ADU-50'!$B$9</f>
        <v>Formation à l'éco-conduite</v>
      </c>
      <c r="E67" s="810" t="str">
        <f>'ADU-50'!$B$4</f>
        <v>Transport</v>
      </c>
      <c r="F67" s="810" t="str">
        <f>'ADU-50'!$B$12</f>
        <v>Citoyen</v>
      </c>
      <c r="G67" s="810" t="str">
        <f>'ADU-50'!$B$6</f>
        <v>Fonds propres</v>
      </c>
      <c r="H67" s="811">
        <f>'ADU-50'!$B$17</f>
        <v>7500</v>
      </c>
      <c r="I67" s="810" t="str">
        <f>'ADU-50'!$B$7</f>
        <v>Néant</v>
      </c>
      <c r="J67" s="811">
        <f>'ADU-50'!$B$18</f>
        <v>0</v>
      </c>
      <c r="K67" s="811">
        <f>'ADU-50'!$B$21</f>
        <v>22305.600000000002</v>
      </c>
      <c r="L67" s="811">
        <f>'ADU-50'!$B$22</f>
        <v>0</v>
      </c>
      <c r="M67" s="812">
        <f>'ADU-50'!$B$24</f>
        <v>0.33623843339789106</v>
      </c>
      <c r="N67" s="813">
        <f>'ADU-50'!$B$25</f>
        <v>37.389761999999997</v>
      </c>
      <c r="O67" s="814">
        <f t="shared" si="247"/>
        <v>4.9853015999999997</v>
      </c>
      <c r="P67" s="815" t="str">
        <f>'ADU-50'!$B$5</f>
        <v>A faire</v>
      </c>
      <c r="Q67" s="816">
        <f>'ADU-50'!$B$16</f>
        <v>2030</v>
      </c>
      <c r="R67" s="817" t="str">
        <f t="shared" si="244"/>
        <v/>
      </c>
      <c r="S67" s="818">
        <f t="shared" si="49"/>
        <v>0</v>
      </c>
      <c r="T67" s="818">
        <f t="shared" si="50"/>
        <v>0</v>
      </c>
      <c r="U67" s="818">
        <f t="shared" si="51"/>
        <v>0</v>
      </c>
      <c r="V67" s="818">
        <f t="shared" si="52"/>
        <v>0</v>
      </c>
      <c r="W67" s="818">
        <f t="shared" si="53"/>
        <v>0</v>
      </c>
      <c r="X67" s="818">
        <f t="shared" si="54"/>
        <v>0</v>
      </c>
      <c r="Y67" s="818">
        <f t="shared" si="55"/>
        <v>0</v>
      </c>
      <c r="AA67" s="818">
        <f t="shared" si="56"/>
        <v>0</v>
      </c>
      <c r="AB67" s="818">
        <f t="shared" si="57"/>
        <v>0</v>
      </c>
      <c r="AC67" s="818">
        <f t="shared" si="58"/>
        <v>0</v>
      </c>
      <c r="AD67" s="818">
        <f t="shared" si="59"/>
        <v>0</v>
      </c>
      <c r="AE67" s="818">
        <f t="shared" si="60"/>
        <v>0</v>
      </c>
      <c r="AF67" s="818">
        <f t="shared" si="61"/>
        <v>0</v>
      </c>
      <c r="AG67" s="818">
        <f t="shared" si="62"/>
        <v>0</v>
      </c>
      <c r="AI67" s="818">
        <f t="shared" si="63"/>
        <v>0</v>
      </c>
      <c r="AJ67" s="818">
        <f t="shared" si="64"/>
        <v>0</v>
      </c>
      <c r="AK67" s="818">
        <f t="shared" si="65"/>
        <v>0</v>
      </c>
      <c r="AL67" s="818">
        <f t="shared" si="66"/>
        <v>0</v>
      </c>
      <c r="AM67" s="818">
        <f t="shared" si="67"/>
        <v>0</v>
      </c>
      <c r="AN67" s="818">
        <f t="shared" si="68"/>
        <v>0</v>
      </c>
      <c r="AO67" s="818">
        <f t="shared" si="69"/>
        <v>0</v>
      </c>
      <c r="AQ67" s="818">
        <f t="shared" si="70"/>
        <v>0</v>
      </c>
      <c r="AR67" s="818">
        <f t="shared" si="71"/>
        <v>0</v>
      </c>
      <c r="AS67" s="818">
        <f t="shared" si="72"/>
        <v>0</v>
      </c>
      <c r="AT67" s="818">
        <f t="shared" si="73"/>
        <v>0</v>
      </c>
      <c r="AU67" s="818">
        <f t="shared" si="74"/>
        <v>0</v>
      </c>
      <c r="AV67" s="818">
        <f t="shared" si="75"/>
        <v>0</v>
      </c>
      <c r="AW67" s="818">
        <f t="shared" si="76"/>
        <v>0</v>
      </c>
      <c r="AY67" s="818">
        <f t="shared" si="77"/>
        <v>0</v>
      </c>
      <c r="AZ67" s="818">
        <f t="shared" si="78"/>
        <v>0</v>
      </c>
      <c r="BA67" s="818">
        <f t="shared" si="79"/>
        <v>0</v>
      </c>
      <c r="BB67" s="818">
        <f t="shared" si="80"/>
        <v>0</v>
      </c>
      <c r="BC67" s="818">
        <f t="shared" si="81"/>
        <v>0</v>
      </c>
      <c r="BD67" s="818">
        <f t="shared" si="82"/>
        <v>0</v>
      </c>
      <c r="BE67" s="818">
        <f t="shared" si="83"/>
        <v>0</v>
      </c>
      <c r="BG67" s="818">
        <f t="shared" si="84"/>
        <v>0</v>
      </c>
      <c r="BH67" s="818">
        <f t="shared" si="85"/>
        <v>0</v>
      </c>
      <c r="BI67" s="818">
        <f t="shared" si="86"/>
        <v>0</v>
      </c>
      <c r="BJ67" s="818">
        <f t="shared" si="87"/>
        <v>0</v>
      </c>
      <c r="BK67" s="820">
        <f t="shared" si="245"/>
        <v>0</v>
      </c>
      <c r="BL67" s="818">
        <f t="shared" si="88"/>
        <v>0</v>
      </c>
      <c r="BN67" s="818">
        <f t="shared" si="89"/>
        <v>0</v>
      </c>
      <c r="BO67" s="818">
        <f t="shared" si="90"/>
        <v>0</v>
      </c>
      <c r="BP67" s="818">
        <f t="shared" si="91"/>
        <v>0</v>
      </c>
      <c r="BQ67" s="818">
        <f t="shared" si="92"/>
        <v>0</v>
      </c>
      <c r="BR67" s="820">
        <f t="shared" si="246"/>
        <v>0</v>
      </c>
      <c r="BS67" s="818">
        <f t="shared" si="93"/>
        <v>0</v>
      </c>
    </row>
    <row r="68" spans="1:71" s="819" customFormat="1" ht="18" customHeight="1" x14ac:dyDescent="0.25">
      <c r="A68" s="808" t="s">
        <v>811</v>
      </c>
      <c r="B68" s="808" t="str">
        <f>'ADU-51'!B$3:E$3</f>
        <v>Mobilité</v>
      </c>
      <c r="C68" s="809" t="str">
        <f>'ADU-51'!$B$8</f>
        <v>Transport</v>
      </c>
      <c r="D68" s="810" t="str">
        <f>'ADU-51'!$B$9</f>
        <v>Covoiturage</v>
      </c>
      <c r="E68" s="810" t="str">
        <f>'ADU-51'!$B$4</f>
        <v>Transport</v>
      </c>
      <c r="F68" s="810" t="str">
        <f>'ADU-51'!$B$12</f>
        <v>AC MESSANCY</v>
      </c>
      <c r="G68" s="810" t="str">
        <f>'ADU-51'!$B$6</f>
        <v>Néant</v>
      </c>
      <c r="H68" s="811">
        <f>'ADU-51'!$B$17</f>
        <v>0</v>
      </c>
      <c r="I68" s="810" t="str">
        <f>'ADU-51'!$B$7</f>
        <v>Néant</v>
      </c>
      <c r="J68" s="811">
        <f>'ADU-51'!$B$18</f>
        <v>0</v>
      </c>
      <c r="K68" s="811">
        <f>'ADU-51'!$B$21</f>
        <v>34.4</v>
      </c>
      <c r="L68" s="811">
        <f>'ADU-51'!$B$22</f>
        <v>0</v>
      </c>
      <c r="M68" s="812">
        <f>'ADU-51'!$B$24</f>
        <v>0</v>
      </c>
      <c r="N68" s="813">
        <f>'ADU-51'!$B$25</f>
        <v>124.55207999999999</v>
      </c>
      <c r="O68" s="814">
        <f t="shared" si="247"/>
        <v>0</v>
      </c>
      <c r="P68" s="815" t="str">
        <f>'ADU-51'!$B$5</f>
        <v>A faire</v>
      </c>
      <c r="Q68" s="816">
        <f>'ADU-51'!$B$16</f>
        <v>2030</v>
      </c>
      <c r="R68" s="817" t="str">
        <f t="shared" si="244"/>
        <v/>
      </c>
      <c r="S68" s="818">
        <f t="shared" si="49"/>
        <v>0</v>
      </c>
      <c r="T68" s="818">
        <f t="shared" si="50"/>
        <v>0</v>
      </c>
      <c r="U68" s="818">
        <f t="shared" si="51"/>
        <v>0</v>
      </c>
      <c r="V68" s="818">
        <f t="shared" si="52"/>
        <v>0</v>
      </c>
      <c r="W68" s="818">
        <f t="shared" si="53"/>
        <v>0</v>
      </c>
      <c r="X68" s="818">
        <f t="shared" si="54"/>
        <v>0</v>
      </c>
      <c r="Y68" s="818">
        <f t="shared" si="55"/>
        <v>0</v>
      </c>
      <c r="AA68" s="818">
        <f t="shared" si="56"/>
        <v>0</v>
      </c>
      <c r="AB68" s="818">
        <f t="shared" si="57"/>
        <v>0</v>
      </c>
      <c r="AC68" s="818">
        <f t="shared" si="58"/>
        <v>0</v>
      </c>
      <c r="AD68" s="818">
        <f t="shared" si="59"/>
        <v>0</v>
      </c>
      <c r="AE68" s="818">
        <f t="shared" si="60"/>
        <v>0</v>
      </c>
      <c r="AF68" s="818">
        <f t="shared" si="61"/>
        <v>0</v>
      </c>
      <c r="AG68" s="818">
        <f t="shared" si="62"/>
        <v>0</v>
      </c>
      <c r="AI68" s="818">
        <f t="shared" si="63"/>
        <v>0</v>
      </c>
      <c r="AJ68" s="818">
        <f t="shared" si="64"/>
        <v>0</v>
      </c>
      <c r="AK68" s="818">
        <f t="shared" si="65"/>
        <v>0</v>
      </c>
      <c r="AL68" s="818">
        <f t="shared" si="66"/>
        <v>0</v>
      </c>
      <c r="AM68" s="818">
        <f t="shared" si="67"/>
        <v>0</v>
      </c>
      <c r="AN68" s="818">
        <f t="shared" si="68"/>
        <v>0</v>
      </c>
      <c r="AO68" s="818">
        <f t="shared" si="69"/>
        <v>0</v>
      </c>
      <c r="AQ68" s="818">
        <f t="shared" si="70"/>
        <v>0</v>
      </c>
      <c r="AR68" s="818">
        <f t="shared" si="71"/>
        <v>0</v>
      </c>
      <c r="AS68" s="818">
        <f t="shared" si="72"/>
        <v>0</v>
      </c>
      <c r="AT68" s="818">
        <f t="shared" si="73"/>
        <v>0</v>
      </c>
      <c r="AU68" s="818">
        <f t="shared" si="74"/>
        <v>0</v>
      </c>
      <c r="AV68" s="818">
        <f t="shared" si="75"/>
        <v>0</v>
      </c>
      <c r="AW68" s="818">
        <f t="shared" si="76"/>
        <v>0</v>
      </c>
      <c r="AY68" s="818">
        <f t="shared" si="77"/>
        <v>0</v>
      </c>
      <c r="AZ68" s="818">
        <f t="shared" si="78"/>
        <v>0</v>
      </c>
      <c r="BA68" s="818">
        <f t="shared" si="79"/>
        <v>0</v>
      </c>
      <c r="BB68" s="818">
        <f t="shared" si="80"/>
        <v>0</v>
      </c>
      <c r="BC68" s="818">
        <f t="shared" si="81"/>
        <v>0</v>
      </c>
      <c r="BD68" s="818">
        <f t="shared" si="82"/>
        <v>0</v>
      </c>
      <c r="BE68" s="818">
        <f t="shared" si="83"/>
        <v>0</v>
      </c>
      <c r="BG68" s="818">
        <f t="shared" si="84"/>
        <v>0</v>
      </c>
      <c r="BH68" s="818">
        <f t="shared" si="85"/>
        <v>0</v>
      </c>
      <c r="BI68" s="818">
        <f t="shared" si="86"/>
        <v>0</v>
      </c>
      <c r="BJ68" s="818">
        <f t="shared" si="87"/>
        <v>0</v>
      </c>
      <c r="BK68" s="820">
        <f t="shared" si="245"/>
        <v>0</v>
      </c>
      <c r="BL68" s="818">
        <f t="shared" si="88"/>
        <v>0</v>
      </c>
      <c r="BN68" s="818">
        <f t="shared" si="89"/>
        <v>0</v>
      </c>
      <c r="BO68" s="818">
        <f t="shared" si="90"/>
        <v>0</v>
      </c>
      <c r="BP68" s="818">
        <f t="shared" si="91"/>
        <v>0</v>
      </c>
      <c r="BQ68" s="818">
        <f t="shared" si="92"/>
        <v>0</v>
      </c>
      <c r="BR68" s="820">
        <f t="shared" si="246"/>
        <v>0</v>
      </c>
      <c r="BS68" s="818">
        <f t="shared" si="93"/>
        <v>0</v>
      </c>
    </row>
    <row r="69" spans="1:71" s="819" customFormat="1" ht="18" customHeight="1" x14ac:dyDescent="0.25">
      <c r="A69" s="808" t="s">
        <v>810</v>
      </c>
      <c r="B69" s="808" t="str">
        <f>'ADU-52'!B$3:E$3</f>
        <v>Mobilité</v>
      </c>
      <c r="C69" s="809" t="str">
        <f>'ADU-52'!$B$8</f>
        <v>Véhicules de service</v>
      </c>
      <c r="D69" s="810" t="str">
        <f>'ADU-52'!$B$9</f>
        <v>Véhicules de service électriques</v>
      </c>
      <c r="E69" s="810" t="str">
        <f>'ADU-52'!$B$4</f>
        <v>Transport</v>
      </c>
      <c r="F69" s="810" t="str">
        <f>'ADU-52'!$B$12</f>
        <v>AC MESSANCY</v>
      </c>
      <c r="G69" s="810" t="str">
        <f>'ADU-52'!$B$6</f>
        <v>Fonds propres</v>
      </c>
      <c r="H69" s="811">
        <f>'ADU-52'!$B$17</f>
        <v>30000</v>
      </c>
      <c r="I69" s="810" t="str">
        <f>'ADU-52'!$B$7</f>
        <v>Néant</v>
      </c>
      <c r="J69" s="811">
        <f>'ADU-52'!$B$18</f>
        <v>0</v>
      </c>
      <c r="K69" s="811">
        <f>'ADU-52'!$B$21</f>
        <v>1610.4326530612245</v>
      </c>
      <c r="L69" s="811">
        <f>'ADU-52'!$B$22</f>
        <v>0</v>
      </c>
      <c r="M69" s="812">
        <f>'ADU-52'!$B$24</f>
        <v>6.2095114508460139</v>
      </c>
      <c r="N69" s="813">
        <f>'ADU-52'!$B$25</f>
        <v>1.4943993306122449</v>
      </c>
      <c r="O69" s="814">
        <f t="shared" si="247"/>
        <v>4.9813311020408167E-2</v>
      </c>
      <c r="P69" s="815" t="str">
        <f>'ADU-52'!$B$5</f>
        <v>A faire</v>
      </c>
      <c r="Q69" s="816">
        <f>'ADU-52'!$B$16</f>
        <v>2030</v>
      </c>
      <c r="R69" s="817" t="str">
        <f t="shared" si="244"/>
        <v/>
      </c>
      <c r="S69" s="818">
        <f t="shared" si="49"/>
        <v>0</v>
      </c>
      <c r="T69" s="818">
        <f t="shared" si="50"/>
        <v>0</v>
      </c>
      <c r="U69" s="818">
        <f t="shared" si="51"/>
        <v>0</v>
      </c>
      <c r="V69" s="818">
        <f t="shared" si="52"/>
        <v>0</v>
      </c>
      <c r="W69" s="818">
        <f t="shared" si="53"/>
        <v>0</v>
      </c>
      <c r="X69" s="818">
        <f t="shared" si="54"/>
        <v>0</v>
      </c>
      <c r="Y69" s="818">
        <f t="shared" si="55"/>
        <v>0</v>
      </c>
      <c r="AA69" s="818">
        <f t="shared" si="56"/>
        <v>0</v>
      </c>
      <c r="AB69" s="818">
        <f t="shared" si="57"/>
        <v>0</v>
      </c>
      <c r="AC69" s="818">
        <f t="shared" si="58"/>
        <v>0</v>
      </c>
      <c r="AD69" s="818">
        <f t="shared" si="59"/>
        <v>0</v>
      </c>
      <c r="AE69" s="818">
        <f t="shared" si="60"/>
        <v>0</v>
      </c>
      <c r="AF69" s="818">
        <f t="shared" si="61"/>
        <v>0</v>
      </c>
      <c r="AG69" s="818">
        <f t="shared" si="62"/>
        <v>0</v>
      </c>
      <c r="AI69" s="818">
        <f t="shared" si="63"/>
        <v>0</v>
      </c>
      <c r="AJ69" s="818">
        <f t="shared" si="64"/>
        <v>0</v>
      </c>
      <c r="AK69" s="818">
        <f t="shared" si="65"/>
        <v>0</v>
      </c>
      <c r="AL69" s="818">
        <f t="shared" si="66"/>
        <v>0</v>
      </c>
      <c r="AM69" s="818">
        <f t="shared" si="67"/>
        <v>0</v>
      </c>
      <c r="AN69" s="818">
        <f t="shared" si="68"/>
        <v>0</v>
      </c>
      <c r="AO69" s="818">
        <f t="shared" si="69"/>
        <v>0</v>
      </c>
      <c r="AQ69" s="818">
        <f t="shared" si="70"/>
        <v>0</v>
      </c>
      <c r="AR69" s="818">
        <f t="shared" si="71"/>
        <v>0</v>
      </c>
      <c r="AS69" s="818">
        <f t="shared" si="72"/>
        <v>0</v>
      </c>
      <c r="AT69" s="818">
        <f t="shared" si="73"/>
        <v>0</v>
      </c>
      <c r="AU69" s="818">
        <f t="shared" si="74"/>
        <v>0</v>
      </c>
      <c r="AV69" s="818">
        <f t="shared" si="75"/>
        <v>0</v>
      </c>
      <c r="AW69" s="818">
        <f t="shared" si="76"/>
        <v>0</v>
      </c>
      <c r="AY69" s="818">
        <f t="shared" si="77"/>
        <v>0</v>
      </c>
      <c r="AZ69" s="818">
        <f t="shared" si="78"/>
        <v>0</v>
      </c>
      <c r="BA69" s="818">
        <f t="shared" si="79"/>
        <v>0</v>
      </c>
      <c r="BB69" s="818">
        <f t="shared" si="80"/>
        <v>0</v>
      </c>
      <c r="BC69" s="818">
        <f t="shared" si="81"/>
        <v>0</v>
      </c>
      <c r="BD69" s="818">
        <f t="shared" si="82"/>
        <v>0</v>
      </c>
      <c r="BE69" s="818">
        <f t="shared" si="83"/>
        <v>0</v>
      </c>
      <c r="BG69" s="818">
        <f t="shared" si="84"/>
        <v>0</v>
      </c>
      <c r="BH69" s="818">
        <f t="shared" si="85"/>
        <v>0</v>
      </c>
      <c r="BI69" s="818">
        <f t="shared" si="86"/>
        <v>0</v>
      </c>
      <c r="BJ69" s="818">
        <f t="shared" si="87"/>
        <v>0</v>
      </c>
      <c r="BK69" s="820">
        <f t="shared" si="245"/>
        <v>0</v>
      </c>
      <c r="BL69" s="818">
        <f t="shared" si="88"/>
        <v>0</v>
      </c>
      <c r="BN69" s="818">
        <f t="shared" si="89"/>
        <v>0</v>
      </c>
      <c r="BO69" s="818">
        <f t="shared" si="90"/>
        <v>0</v>
      </c>
      <c r="BP69" s="818">
        <f t="shared" si="91"/>
        <v>0</v>
      </c>
      <c r="BQ69" s="818">
        <f t="shared" si="92"/>
        <v>0</v>
      </c>
      <c r="BR69" s="820">
        <f t="shared" si="246"/>
        <v>0</v>
      </c>
      <c r="BS69" s="818">
        <f t="shared" si="93"/>
        <v>0</v>
      </c>
    </row>
    <row r="70" spans="1:71" s="819" customFormat="1" ht="18" customHeight="1" x14ac:dyDescent="0.25">
      <c r="A70" s="808" t="s">
        <v>809</v>
      </c>
      <c r="B70" s="808" t="str">
        <f>'ADU-53'!B$3:E$3</f>
        <v>Mobilité</v>
      </c>
      <c r="C70" s="809" t="str">
        <f>'ADU-53'!$B$8</f>
        <v>Citoyens</v>
      </c>
      <c r="D70" s="810" t="str">
        <f>'ADU-53'!$B$9</f>
        <v>Voitures électriques</v>
      </c>
      <c r="E70" s="810" t="str">
        <f>'ADU-53'!$B$4</f>
        <v>Transport</v>
      </c>
      <c r="F70" s="810" t="str">
        <f>'ADU-53'!$B$12</f>
        <v>Citoyen</v>
      </c>
      <c r="G70" s="810" t="str">
        <f>'ADU-53'!$B$6</f>
        <v>Prêt bancaire</v>
      </c>
      <c r="H70" s="811">
        <f>'ADU-53'!$B$17</f>
        <v>16000000</v>
      </c>
      <c r="I70" s="810" t="str">
        <f>'ADU-53'!$B$7</f>
        <v>Néant</v>
      </c>
      <c r="J70" s="811">
        <f>'ADU-53'!$B$18</f>
        <v>0</v>
      </c>
      <c r="K70" s="811">
        <f>'ADU-53'!$B$21</f>
        <v>691772.98792169942</v>
      </c>
      <c r="L70" s="811">
        <f>'ADU-53'!$B$22</f>
        <v>0</v>
      </c>
      <c r="M70" s="812">
        <f>'ADU-53'!$B$24</f>
        <v>4.6257949585655149</v>
      </c>
      <c r="N70" s="813">
        <f>'ADU-53'!$B$25</f>
        <v>956.41557159183651</v>
      </c>
      <c r="O70" s="814">
        <f t="shared" si="247"/>
        <v>5.9775973224489784E-2</v>
      </c>
      <c r="P70" s="815" t="str">
        <f>'ADU-53'!$B$5</f>
        <v>A faire</v>
      </c>
      <c r="Q70" s="816">
        <f>'ADU-53'!$B$16</f>
        <v>2030</v>
      </c>
      <c r="R70" s="817" t="str">
        <f t="shared" si="244"/>
        <v/>
      </c>
      <c r="S70" s="818">
        <f t="shared" si="49"/>
        <v>0</v>
      </c>
      <c r="T70" s="818">
        <f t="shared" si="50"/>
        <v>0</v>
      </c>
      <c r="U70" s="818">
        <f t="shared" si="51"/>
        <v>0</v>
      </c>
      <c r="V70" s="818">
        <f t="shared" si="52"/>
        <v>0</v>
      </c>
      <c r="W70" s="818">
        <f t="shared" si="53"/>
        <v>0</v>
      </c>
      <c r="X70" s="818">
        <f t="shared" si="54"/>
        <v>0</v>
      </c>
      <c r="Y70" s="818">
        <f t="shared" si="55"/>
        <v>0</v>
      </c>
      <c r="AA70" s="818">
        <f t="shared" si="56"/>
        <v>0</v>
      </c>
      <c r="AB70" s="818">
        <f t="shared" si="57"/>
        <v>0</v>
      </c>
      <c r="AC70" s="818">
        <f t="shared" si="58"/>
        <v>0</v>
      </c>
      <c r="AD70" s="818">
        <f t="shared" si="59"/>
        <v>0</v>
      </c>
      <c r="AE70" s="818">
        <f t="shared" si="60"/>
        <v>0</v>
      </c>
      <c r="AF70" s="818">
        <f t="shared" si="61"/>
        <v>0</v>
      </c>
      <c r="AG70" s="818">
        <f t="shared" si="62"/>
        <v>0</v>
      </c>
      <c r="AI70" s="818">
        <f t="shared" si="63"/>
        <v>0</v>
      </c>
      <c r="AJ70" s="818">
        <f t="shared" si="64"/>
        <v>0</v>
      </c>
      <c r="AK70" s="818">
        <f t="shared" si="65"/>
        <v>0</v>
      </c>
      <c r="AL70" s="818">
        <f t="shared" si="66"/>
        <v>0</v>
      </c>
      <c r="AM70" s="818">
        <f t="shared" si="67"/>
        <v>0</v>
      </c>
      <c r="AN70" s="818">
        <f t="shared" si="68"/>
        <v>0</v>
      </c>
      <c r="AO70" s="818">
        <f t="shared" si="69"/>
        <v>0</v>
      </c>
      <c r="AQ70" s="818">
        <f t="shared" si="70"/>
        <v>0</v>
      </c>
      <c r="AR70" s="818">
        <f t="shared" si="71"/>
        <v>0</v>
      </c>
      <c r="AS70" s="818">
        <f t="shared" si="72"/>
        <v>0</v>
      </c>
      <c r="AT70" s="818">
        <f t="shared" si="73"/>
        <v>0</v>
      </c>
      <c r="AU70" s="818">
        <f t="shared" si="74"/>
        <v>0</v>
      </c>
      <c r="AV70" s="818">
        <f t="shared" si="75"/>
        <v>0</v>
      </c>
      <c r="AW70" s="818">
        <f t="shared" si="76"/>
        <v>0</v>
      </c>
      <c r="AY70" s="818">
        <f t="shared" si="77"/>
        <v>0</v>
      </c>
      <c r="AZ70" s="818">
        <f t="shared" si="78"/>
        <v>0</v>
      </c>
      <c r="BA70" s="818">
        <f t="shared" si="79"/>
        <v>0</v>
      </c>
      <c r="BB70" s="818">
        <f t="shared" si="80"/>
        <v>0</v>
      </c>
      <c r="BC70" s="818">
        <f t="shared" si="81"/>
        <v>0</v>
      </c>
      <c r="BD70" s="818">
        <f t="shared" si="82"/>
        <v>0</v>
      </c>
      <c r="BE70" s="818">
        <f t="shared" si="83"/>
        <v>0</v>
      </c>
      <c r="BG70" s="818">
        <f t="shared" si="84"/>
        <v>0</v>
      </c>
      <c r="BH70" s="818">
        <f t="shared" si="85"/>
        <v>0</v>
      </c>
      <c r="BI70" s="818">
        <f t="shared" si="86"/>
        <v>0</v>
      </c>
      <c r="BJ70" s="818">
        <f t="shared" si="87"/>
        <v>0</v>
      </c>
      <c r="BK70" s="820">
        <f t="shared" si="245"/>
        <v>0</v>
      </c>
      <c r="BL70" s="818">
        <f t="shared" si="88"/>
        <v>0</v>
      </c>
      <c r="BN70" s="818">
        <f t="shared" si="89"/>
        <v>0</v>
      </c>
      <c r="BO70" s="818">
        <f t="shared" si="90"/>
        <v>0</v>
      </c>
      <c r="BP70" s="818">
        <f t="shared" si="91"/>
        <v>0</v>
      </c>
      <c r="BQ70" s="818">
        <f t="shared" si="92"/>
        <v>0</v>
      </c>
      <c r="BR70" s="820">
        <f t="shared" si="246"/>
        <v>0</v>
      </c>
      <c r="BS70" s="818">
        <f t="shared" si="93"/>
        <v>0</v>
      </c>
    </row>
    <row r="71" spans="1:71" s="819" customFormat="1" ht="18" customHeight="1" x14ac:dyDescent="0.25">
      <c r="A71" s="808" t="s">
        <v>808</v>
      </c>
      <c r="B71" s="808" t="str">
        <f>'ADU-54'!B$3:E$3</f>
        <v>Mobilité</v>
      </c>
      <c r="C71" s="809" t="str">
        <f>'ADU-54'!$B$8</f>
        <v>Véhicules propres</v>
      </c>
      <c r="D71" s="810" t="str">
        <f>'ADU-54'!$B$9</f>
        <v>Voitures hybrides</v>
      </c>
      <c r="E71" s="810" t="str">
        <f>'ADU-54'!$B$4</f>
        <v>Transport</v>
      </c>
      <c r="F71" s="810" t="str">
        <f>'ADU-54'!$B$12</f>
        <v>Citoyen</v>
      </c>
      <c r="G71" s="810" t="str">
        <f>'ADU-54'!$B$6</f>
        <v>Fonds propres</v>
      </c>
      <c r="H71" s="811">
        <f>'ADU-54'!$B$17</f>
        <v>624353.30356851581</v>
      </c>
      <c r="I71" s="810" t="str">
        <f>'ADU-54'!$B$7</f>
        <v>Néant</v>
      </c>
      <c r="J71" s="811">
        <f>'ADU-54'!$B$18</f>
        <v>0</v>
      </c>
      <c r="K71" s="811">
        <f>'ADU-54'!$B$21</f>
        <v>31977.917968637263</v>
      </c>
      <c r="L71" s="811">
        <f>'ADU-54'!$B$22</f>
        <v>0</v>
      </c>
      <c r="M71" s="812">
        <f>'ADU-54'!$B$24</f>
        <v>2.1693904322798221</v>
      </c>
      <c r="N71" s="813">
        <f>'ADU-54'!$B$25</f>
        <v>17.059199154815552</v>
      </c>
      <c r="O71" s="814">
        <f t="shared" si="247"/>
        <v>2.7322990136054427E-2</v>
      </c>
      <c r="P71" s="815" t="str">
        <f>'ADU-54'!$B$5</f>
        <v>Terminé</v>
      </c>
      <c r="Q71" s="816">
        <f>'ADU-54'!$B$16</f>
        <v>2018</v>
      </c>
      <c r="R71" s="817">
        <f>IF(P71="terminé", N71,"")</f>
        <v>17.059199154815552</v>
      </c>
      <c r="S71" s="818">
        <f t="shared" si="49"/>
        <v>0</v>
      </c>
      <c r="T71" s="818">
        <f t="shared" si="50"/>
        <v>0</v>
      </c>
      <c r="U71" s="818">
        <f t="shared" si="51"/>
        <v>0</v>
      </c>
      <c r="V71" s="818">
        <f t="shared" si="52"/>
        <v>0</v>
      </c>
      <c r="W71" s="818">
        <f t="shared" si="53"/>
        <v>0</v>
      </c>
      <c r="X71" s="818">
        <f t="shared" si="54"/>
        <v>17.059199154815552</v>
      </c>
      <c r="Y71" s="818">
        <f t="shared" si="55"/>
        <v>0</v>
      </c>
      <c r="AA71" s="818">
        <f t="shared" si="56"/>
        <v>0</v>
      </c>
      <c r="AB71" s="818">
        <f t="shared" si="57"/>
        <v>0</v>
      </c>
      <c r="AC71" s="818">
        <f t="shared" si="58"/>
        <v>0</v>
      </c>
      <c r="AD71" s="818">
        <f t="shared" si="59"/>
        <v>0</v>
      </c>
      <c r="AE71" s="818">
        <f t="shared" si="60"/>
        <v>0</v>
      </c>
      <c r="AF71" s="818">
        <f t="shared" si="61"/>
        <v>624353.30356851581</v>
      </c>
      <c r="AG71" s="818">
        <f t="shared" si="62"/>
        <v>0</v>
      </c>
      <c r="AI71" s="818">
        <f t="shared" si="63"/>
        <v>0</v>
      </c>
      <c r="AJ71" s="818">
        <f t="shared" si="64"/>
        <v>0</v>
      </c>
      <c r="AK71" s="818">
        <f t="shared" si="65"/>
        <v>0</v>
      </c>
      <c r="AL71" s="818">
        <f t="shared" si="66"/>
        <v>0</v>
      </c>
      <c r="AM71" s="818">
        <f t="shared" si="67"/>
        <v>0</v>
      </c>
      <c r="AN71" s="818">
        <f t="shared" si="68"/>
        <v>0</v>
      </c>
      <c r="AO71" s="818">
        <f t="shared" si="69"/>
        <v>0</v>
      </c>
      <c r="AQ71" s="818">
        <f t="shared" si="70"/>
        <v>0</v>
      </c>
      <c r="AR71" s="818">
        <f t="shared" si="71"/>
        <v>0</v>
      </c>
      <c r="AS71" s="818">
        <f t="shared" si="72"/>
        <v>0</v>
      </c>
      <c r="AT71" s="818">
        <f t="shared" si="73"/>
        <v>0</v>
      </c>
      <c r="AU71" s="818">
        <f t="shared" si="74"/>
        <v>0</v>
      </c>
      <c r="AV71" s="818">
        <f t="shared" si="75"/>
        <v>31977.917968637263</v>
      </c>
      <c r="AW71" s="818">
        <f t="shared" si="76"/>
        <v>0</v>
      </c>
      <c r="AY71" s="818">
        <f t="shared" si="77"/>
        <v>0</v>
      </c>
      <c r="AZ71" s="818">
        <f t="shared" si="78"/>
        <v>0</v>
      </c>
      <c r="BA71" s="818">
        <f t="shared" si="79"/>
        <v>0</v>
      </c>
      <c r="BB71" s="818">
        <f t="shared" si="80"/>
        <v>0</v>
      </c>
      <c r="BC71" s="818">
        <f t="shared" si="81"/>
        <v>0</v>
      </c>
      <c r="BD71" s="818">
        <f t="shared" si="82"/>
        <v>0</v>
      </c>
      <c r="BE71" s="818">
        <f t="shared" si="83"/>
        <v>0</v>
      </c>
      <c r="BG71" s="818">
        <f t="shared" si="84"/>
        <v>0</v>
      </c>
      <c r="BH71" s="818">
        <f t="shared" si="85"/>
        <v>0</v>
      </c>
      <c r="BI71" s="818">
        <f t="shared" si="86"/>
        <v>624353.30356851581</v>
      </c>
      <c r="BJ71" s="818">
        <f t="shared" si="87"/>
        <v>0</v>
      </c>
      <c r="BK71" s="820">
        <f t="shared" si="245"/>
        <v>0</v>
      </c>
      <c r="BL71" s="818">
        <f t="shared" si="88"/>
        <v>0</v>
      </c>
      <c r="BN71" s="818">
        <f t="shared" si="89"/>
        <v>0</v>
      </c>
      <c r="BO71" s="818">
        <f t="shared" si="90"/>
        <v>0</v>
      </c>
      <c r="BP71" s="818">
        <f t="shared" si="91"/>
        <v>0</v>
      </c>
      <c r="BQ71" s="818">
        <f t="shared" si="92"/>
        <v>0</v>
      </c>
      <c r="BR71" s="820">
        <f t="shared" si="246"/>
        <v>0</v>
      </c>
      <c r="BS71" s="818">
        <f t="shared" si="93"/>
        <v>0</v>
      </c>
    </row>
    <row r="72" spans="1:71" s="819" customFormat="1" ht="18" customHeight="1" x14ac:dyDescent="0.25">
      <c r="A72" s="808" t="s">
        <v>807</v>
      </c>
      <c r="B72" s="808" t="str">
        <f>'ADU-55'!B$3:E$3</f>
        <v>Mobilité</v>
      </c>
      <c r="C72" s="809" t="str">
        <f>'ADU-55'!$B$8</f>
        <v>Mobilité douce</v>
      </c>
      <c r="D72" s="810" t="str">
        <f>'ADU-55'!$B$9</f>
        <v>Vélos à assistance électrique</v>
      </c>
      <c r="E72" s="810" t="str">
        <f>'ADU-55'!$B$4</f>
        <v>Transport</v>
      </c>
      <c r="F72" s="810" t="str">
        <f>'ADU-55'!$B$12</f>
        <v>Citoyen</v>
      </c>
      <c r="G72" s="810" t="str">
        <f>'ADU-55'!$B$6</f>
        <v>Fonds propres</v>
      </c>
      <c r="H72" s="811">
        <f>'ADU-55'!$B$17</f>
        <v>320000</v>
      </c>
      <c r="I72" s="810" t="str">
        <f>'ADU-55'!$B$7</f>
        <v>Néant</v>
      </c>
      <c r="J72" s="811">
        <f>'ADU-55'!$B$18</f>
        <v>0</v>
      </c>
      <c r="K72" s="811">
        <f>'ADU-55'!$B$21</f>
        <v>28800</v>
      </c>
      <c r="L72" s="811">
        <f>'ADU-55'!$B$22</f>
        <v>0</v>
      </c>
      <c r="M72" s="812">
        <f>'ADU-55'!$B$24</f>
        <v>11.111111111111111</v>
      </c>
      <c r="N72" s="813">
        <f>'ADU-55'!$B$25</f>
        <v>48.276000000000003</v>
      </c>
      <c r="O72" s="814">
        <f t="shared" si="247"/>
        <v>0.15086250000000001</v>
      </c>
      <c r="P72" s="815" t="str">
        <f>'ADU-55'!$B$5</f>
        <v>A faire</v>
      </c>
      <c r="Q72" s="816">
        <f>'ADU-55'!$B$16</f>
        <v>2030</v>
      </c>
      <c r="R72" s="817" t="str">
        <f>IF(P72="terminé", N72,"")</f>
        <v/>
      </c>
      <c r="S72" s="818">
        <f t="shared" si="49"/>
        <v>0</v>
      </c>
      <c r="T72" s="818">
        <f t="shared" si="50"/>
        <v>0</v>
      </c>
      <c r="U72" s="818">
        <f t="shared" si="51"/>
        <v>0</v>
      </c>
      <c r="V72" s="818">
        <f t="shared" si="52"/>
        <v>0</v>
      </c>
      <c r="W72" s="818">
        <f t="shared" si="53"/>
        <v>0</v>
      </c>
      <c r="X72" s="818">
        <f t="shared" si="54"/>
        <v>0</v>
      </c>
      <c r="Y72" s="818">
        <f t="shared" si="55"/>
        <v>0</v>
      </c>
      <c r="AA72" s="818">
        <f t="shared" si="56"/>
        <v>0</v>
      </c>
      <c r="AB72" s="818">
        <f t="shared" si="57"/>
        <v>0</v>
      </c>
      <c r="AC72" s="818">
        <f t="shared" si="58"/>
        <v>0</v>
      </c>
      <c r="AD72" s="818">
        <f t="shared" si="59"/>
        <v>0</v>
      </c>
      <c r="AE72" s="818">
        <f t="shared" si="60"/>
        <v>0</v>
      </c>
      <c r="AF72" s="818">
        <f t="shared" si="61"/>
        <v>0</v>
      </c>
      <c r="AG72" s="818">
        <f t="shared" si="62"/>
        <v>0</v>
      </c>
      <c r="AI72" s="818">
        <f t="shared" si="63"/>
        <v>0</v>
      </c>
      <c r="AJ72" s="818">
        <f t="shared" si="64"/>
        <v>0</v>
      </c>
      <c r="AK72" s="818">
        <f t="shared" si="65"/>
        <v>0</v>
      </c>
      <c r="AL72" s="818">
        <f t="shared" si="66"/>
        <v>0</v>
      </c>
      <c r="AM72" s="818">
        <f t="shared" si="67"/>
        <v>0</v>
      </c>
      <c r="AN72" s="818">
        <f t="shared" si="68"/>
        <v>0</v>
      </c>
      <c r="AO72" s="818">
        <f t="shared" si="69"/>
        <v>0</v>
      </c>
      <c r="AQ72" s="818">
        <f t="shared" si="70"/>
        <v>0</v>
      </c>
      <c r="AR72" s="818">
        <f t="shared" si="71"/>
        <v>0</v>
      </c>
      <c r="AS72" s="818">
        <f t="shared" si="72"/>
        <v>0</v>
      </c>
      <c r="AT72" s="818">
        <f t="shared" si="73"/>
        <v>0</v>
      </c>
      <c r="AU72" s="818">
        <f t="shared" si="74"/>
        <v>0</v>
      </c>
      <c r="AV72" s="818">
        <f t="shared" si="75"/>
        <v>0</v>
      </c>
      <c r="AW72" s="818">
        <f t="shared" si="76"/>
        <v>0</v>
      </c>
      <c r="AY72" s="818">
        <f t="shared" si="77"/>
        <v>0</v>
      </c>
      <c r="AZ72" s="818">
        <f t="shared" si="78"/>
        <v>0</v>
      </c>
      <c r="BA72" s="818">
        <f t="shared" si="79"/>
        <v>0</v>
      </c>
      <c r="BB72" s="818">
        <f t="shared" si="80"/>
        <v>0</v>
      </c>
      <c r="BC72" s="818">
        <f t="shared" si="81"/>
        <v>0</v>
      </c>
      <c r="BD72" s="818">
        <f t="shared" si="82"/>
        <v>0</v>
      </c>
      <c r="BE72" s="818">
        <f t="shared" si="83"/>
        <v>0</v>
      </c>
      <c r="BG72" s="818">
        <f t="shared" si="84"/>
        <v>0</v>
      </c>
      <c r="BH72" s="818">
        <f t="shared" si="85"/>
        <v>0</v>
      </c>
      <c r="BI72" s="818">
        <f t="shared" si="86"/>
        <v>0</v>
      </c>
      <c r="BJ72" s="818">
        <f t="shared" si="87"/>
        <v>0</v>
      </c>
      <c r="BK72" s="820">
        <f t="shared" si="245"/>
        <v>0</v>
      </c>
      <c r="BL72" s="818">
        <f t="shared" si="88"/>
        <v>0</v>
      </c>
      <c r="BN72" s="818">
        <f t="shared" si="89"/>
        <v>0</v>
      </c>
      <c r="BO72" s="818">
        <f t="shared" si="90"/>
        <v>0</v>
      </c>
      <c r="BP72" s="818">
        <f t="shared" si="91"/>
        <v>0</v>
      </c>
      <c r="BQ72" s="818">
        <f t="shared" si="92"/>
        <v>0</v>
      </c>
      <c r="BR72" s="820">
        <f t="shared" si="246"/>
        <v>0</v>
      </c>
      <c r="BS72" s="818">
        <f t="shared" si="93"/>
        <v>0</v>
      </c>
    </row>
    <row r="73" spans="1:71" s="819" customFormat="1" ht="18" customHeight="1" x14ac:dyDescent="0.25">
      <c r="A73" s="808" t="s">
        <v>806</v>
      </c>
      <c r="B73" s="808" t="str">
        <f>'ADU-56'!B$3:E$3</f>
        <v>Mobilité</v>
      </c>
      <c r="C73" s="809" t="str">
        <f>'ADU-56'!$B$8</f>
        <v>Transport</v>
      </c>
      <c r="D73" s="810" t="str">
        <f>'ADU-56'!$B$9</f>
        <v>Borne de recharge</v>
      </c>
      <c r="E73" s="810" t="str">
        <f>'ADU-56'!$B$4</f>
        <v>Transport</v>
      </c>
      <c r="F73" s="810" t="str">
        <f>'ADU-56'!$B$12</f>
        <v>AC MESSANCY</v>
      </c>
      <c r="G73" s="810" t="str">
        <f>'ADU-56'!$B$6</f>
        <v>1/3 invest</v>
      </c>
      <c r="H73" s="811">
        <f>'ADU-56'!$B$17</f>
        <v>20000</v>
      </c>
      <c r="I73" s="810" t="str">
        <f>'ADU-56'!$B$7</f>
        <v>Néant</v>
      </c>
      <c r="J73" s="811">
        <f>'ADU-56'!$B$18</f>
        <v>0</v>
      </c>
      <c r="K73" s="811">
        <f>'ADU-56'!$B$21</f>
        <v>1</v>
      </c>
      <c r="L73" s="811">
        <f>'ADU-56'!$B$22</f>
        <v>0</v>
      </c>
      <c r="M73" s="812">
        <f>'ADU-56'!$B$24</f>
        <v>90000</v>
      </c>
      <c r="N73" s="813">
        <f>'ADU-56'!$B$25</f>
        <v>0</v>
      </c>
      <c r="O73" s="814">
        <f t="shared" si="247"/>
        <v>0</v>
      </c>
      <c r="P73" s="815" t="str">
        <f>'ADU-56'!$B$5</f>
        <v>A faire</v>
      </c>
      <c r="Q73" s="816">
        <f>'ADU-56'!$B$16</f>
        <v>2030</v>
      </c>
      <c r="R73" s="817" t="str">
        <f>IF(P73="terminé", N73,"")</f>
        <v/>
      </c>
      <c r="S73" s="818">
        <f t="shared" si="49"/>
        <v>0</v>
      </c>
      <c r="T73" s="818">
        <f t="shared" si="50"/>
        <v>0</v>
      </c>
      <c r="U73" s="818">
        <f t="shared" si="51"/>
        <v>0</v>
      </c>
      <c r="V73" s="818">
        <f t="shared" si="52"/>
        <v>0</v>
      </c>
      <c r="W73" s="818">
        <f t="shared" si="53"/>
        <v>0</v>
      </c>
      <c r="X73" s="818">
        <f t="shared" si="54"/>
        <v>0</v>
      </c>
      <c r="Y73" s="818">
        <f t="shared" si="55"/>
        <v>0</v>
      </c>
      <c r="AA73" s="818">
        <f t="shared" si="56"/>
        <v>0</v>
      </c>
      <c r="AB73" s="818">
        <f t="shared" si="57"/>
        <v>0</v>
      </c>
      <c r="AC73" s="818">
        <f t="shared" si="58"/>
        <v>0</v>
      </c>
      <c r="AD73" s="818">
        <f t="shared" si="59"/>
        <v>0</v>
      </c>
      <c r="AE73" s="818">
        <f t="shared" si="60"/>
        <v>0</v>
      </c>
      <c r="AF73" s="818">
        <f t="shared" si="61"/>
        <v>0</v>
      </c>
      <c r="AG73" s="818">
        <f t="shared" si="62"/>
        <v>0</v>
      </c>
      <c r="AI73" s="818">
        <f t="shared" si="63"/>
        <v>0</v>
      </c>
      <c r="AJ73" s="818">
        <f t="shared" si="64"/>
        <v>0</v>
      </c>
      <c r="AK73" s="818">
        <f t="shared" si="65"/>
        <v>0</v>
      </c>
      <c r="AL73" s="818">
        <f t="shared" si="66"/>
        <v>0</v>
      </c>
      <c r="AM73" s="818">
        <f t="shared" si="67"/>
        <v>0</v>
      </c>
      <c r="AN73" s="818">
        <f t="shared" si="68"/>
        <v>0</v>
      </c>
      <c r="AO73" s="818">
        <f t="shared" si="69"/>
        <v>0</v>
      </c>
      <c r="AQ73" s="818">
        <f t="shared" si="70"/>
        <v>0</v>
      </c>
      <c r="AR73" s="818">
        <f t="shared" si="71"/>
        <v>0</v>
      </c>
      <c r="AS73" s="818">
        <f t="shared" si="72"/>
        <v>0</v>
      </c>
      <c r="AT73" s="818">
        <f t="shared" si="73"/>
        <v>0</v>
      </c>
      <c r="AU73" s="818">
        <f t="shared" si="74"/>
        <v>0</v>
      </c>
      <c r="AV73" s="818">
        <f t="shared" si="75"/>
        <v>0</v>
      </c>
      <c r="AW73" s="818">
        <f t="shared" si="76"/>
        <v>0</v>
      </c>
      <c r="AY73" s="818">
        <f t="shared" si="77"/>
        <v>0</v>
      </c>
      <c r="AZ73" s="818">
        <f t="shared" si="78"/>
        <v>0</v>
      </c>
      <c r="BA73" s="818">
        <f t="shared" si="79"/>
        <v>0</v>
      </c>
      <c r="BB73" s="818">
        <f t="shared" si="80"/>
        <v>0</v>
      </c>
      <c r="BC73" s="818">
        <f t="shared" si="81"/>
        <v>0</v>
      </c>
      <c r="BD73" s="818">
        <f t="shared" si="82"/>
        <v>0</v>
      </c>
      <c r="BE73" s="818">
        <f t="shared" si="83"/>
        <v>0</v>
      </c>
      <c r="BG73" s="818">
        <f t="shared" si="84"/>
        <v>0</v>
      </c>
      <c r="BH73" s="818">
        <f t="shared" si="85"/>
        <v>0</v>
      </c>
      <c r="BI73" s="818">
        <f t="shared" si="86"/>
        <v>0</v>
      </c>
      <c r="BJ73" s="818">
        <f t="shared" si="87"/>
        <v>0</v>
      </c>
      <c r="BK73" s="820">
        <f t="shared" si="245"/>
        <v>0</v>
      </c>
      <c r="BL73" s="818">
        <f t="shared" si="88"/>
        <v>0</v>
      </c>
      <c r="BN73" s="818">
        <f t="shared" si="89"/>
        <v>0</v>
      </c>
      <c r="BO73" s="818">
        <f t="shared" si="90"/>
        <v>0</v>
      </c>
      <c r="BP73" s="818">
        <f t="shared" si="91"/>
        <v>0</v>
      </c>
      <c r="BQ73" s="818">
        <f t="shared" si="92"/>
        <v>0</v>
      </c>
      <c r="BR73" s="820">
        <f t="shared" si="246"/>
        <v>0</v>
      </c>
      <c r="BS73" s="818">
        <f t="shared" si="93"/>
        <v>0</v>
      </c>
    </row>
    <row r="74" spans="1:71" s="819" customFormat="1" ht="18" customHeight="1" x14ac:dyDescent="0.25">
      <c r="A74" s="808" t="s">
        <v>906</v>
      </c>
      <c r="B74" s="808" t="str">
        <f>'ADU-57'!B$3:E$3</f>
        <v>Mobilité</v>
      </c>
      <c r="C74" s="809" t="str">
        <f>'ADU-57'!$B$8</f>
        <v>Véhicules propres</v>
      </c>
      <c r="D74" s="810" t="str">
        <f>'ADU-57'!$B$9</f>
        <v>Voitures hybrides</v>
      </c>
      <c r="E74" s="810" t="str">
        <f>'ADU-57'!$B$4</f>
        <v>Transport</v>
      </c>
      <c r="F74" s="810" t="str">
        <f>'ADU-57'!$B$12</f>
        <v>Citoyen</v>
      </c>
      <c r="G74" s="810" t="str">
        <f>'ADU-57'!$B$6</f>
        <v>Fonds propres</v>
      </c>
      <c r="H74" s="811">
        <f>'ADU-57'!$B$17</f>
        <v>9000000</v>
      </c>
      <c r="I74" s="810" t="str">
        <f>'ADU-57'!$B$7</f>
        <v>Néant</v>
      </c>
      <c r="J74" s="811">
        <f>'ADU-57'!$B$18</f>
        <v>0</v>
      </c>
      <c r="K74" s="811">
        <f>'ADU-57'!$B$21</f>
        <v>463804.08163265308</v>
      </c>
      <c r="L74" s="811">
        <f>'ADU-57'!$B$22</f>
        <v>0</v>
      </c>
      <c r="M74" s="812">
        <f>'ADU-57'!$B$24</f>
        <v>2.1560827935792735</v>
      </c>
      <c r="N74" s="813">
        <f>'ADU-57'!$B$25</f>
        <v>186.79991632653056</v>
      </c>
      <c r="O74" s="814">
        <f t="shared" ref="O74:O77" si="346">IF(H74=0,0,N74/(H74-J74)*1000)</f>
        <v>2.0755546258503399E-2</v>
      </c>
      <c r="P74" s="815" t="str">
        <f>'ADU-57'!$B$5</f>
        <v>A faire</v>
      </c>
      <c r="Q74" s="816">
        <f>'ADU-57'!$B$16</f>
        <v>2030</v>
      </c>
      <c r="R74" s="817" t="str">
        <f t="shared" ref="R74:R77" si="347">IF(P74="terminé", N74,"")</f>
        <v/>
      </c>
      <c r="S74" s="818">
        <f t="shared" ref="S74:S77" si="348">IF((P74="Terminé")*AND(E74="Territoire"),N74,0)</f>
        <v>0</v>
      </c>
      <c r="T74" s="818">
        <f t="shared" ref="T74:T77" si="349">IF((P74="Terminé")*AND(E74="Agriculture"),N74,0)</f>
        <v>0</v>
      </c>
      <c r="U74" s="818">
        <f t="shared" ref="U74:U77" si="350">IF((P74="Terminé")*AND(E74="Industrie"), N74,0)</f>
        <v>0</v>
      </c>
      <c r="V74" s="818">
        <f t="shared" ref="V74:V77" si="351">IF((P74="Terminé")*AND(E74="Logement"),N74,0)</f>
        <v>0</v>
      </c>
      <c r="W74" s="818">
        <f t="shared" ref="W74:W77" si="352">IF((P74="Terminé")*AND(E74="Tertiaire"),N74,0)</f>
        <v>0</v>
      </c>
      <c r="X74" s="818">
        <f t="shared" ref="X74:X77" si="353">IF((P74="Terminé")*AND(E74="Transport"),N74,0)</f>
        <v>0</v>
      </c>
      <c r="Y74" s="818">
        <f t="shared" ref="Y74:Y77" si="354">IF((P74="Terminé")*AND(E74="Communal"),N74,0)</f>
        <v>0</v>
      </c>
      <c r="AA74" s="818">
        <f t="shared" ref="AA74:AA77" si="355">IF((P74="Terminé")*AND(E74="Territoire"),H74,0)</f>
        <v>0</v>
      </c>
      <c r="AB74" s="818">
        <f t="shared" ref="AB74:AB77" si="356">IF((P74="Terminé")*AND(E74="Agriculture"),H74,0)</f>
        <v>0</v>
      </c>
      <c r="AC74" s="818">
        <f t="shared" ref="AC74:AC77" si="357">IF((P74="Terminé")*AND(E74="Industrie"), H74,0)</f>
        <v>0</v>
      </c>
      <c r="AD74" s="818">
        <f t="shared" ref="AD74:AD77" si="358">IF((P74="Terminé")*AND(E74="Logement"), H74,0)</f>
        <v>0</v>
      </c>
      <c r="AE74" s="818">
        <f t="shared" ref="AE74:AE77" si="359">IF((P74="Terminé")*AND(E74="Tertiaire"),H74,0)</f>
        <v>0</v>
      </c>
      <c r="AF74" s="818">
        <f t="shared" ref="AF74:AF77" si="360">IF((P74="Terminé")*AND(E74="Transport"),H74,0)</f>
        <v>0</v>
      </c>
      <c r="AG74" s="818">
        <f t="shared" ref="AG74:AG77" si="361">IF((P74="Terminé")*AND(E74="Communal"),H74,0)</f>
        <v>0</v>
      </c>
      <c r="AI74" s="818">
        <f t="shared" ref="AI74:AI77" si="362">IF((P74="Terminé")*AND(E74="Territoire"),J74,0)</f>
        <v>0</v>
      </c>
      <c r="AJ74" s="818">
        <f t="shared" ref="AJ74:AJ77" si="363">IF((P74="Terminé")*AND(E74="Agriculture"),J74,0)</f>
        <v>0</v>
      </c>
      <c r="AK74" s="818">
        <f t="shared" ref="AK74:AK77" si="364">IF((P74="Terminé")*AND(E74="Industrie"), J74,0)</f>
        <v>0</v>
      </c>
      <c r="AL74" s="818">
        <f t="shared" ref="AL74:AL77" si="365">IF((P74="Terminé")*AND(E74="Logement"), J74,0)</f>
        <v>0</v>
      </c>
      <c r="AM74" s="818">
        <f t="shared" ref="AM74:AM77" si="366">IF((P74="Terminé")*AND(E74="Tertiaire"),J74,0)</f>
        <v>0</v>
      </c>
      <c r="AN74" s="818">
        <f t="shared" ref="AN74:AN77" si="367">IF((P74="Terminé")*AND(E74="Transport"),J74,0)</f>
        <v>0</v>
      </c>
      <c r="AO74" s="818">
        <f t="shared" ref="AO74:AO77" si="368">IF((P74="Terminé")*AND(E74="Communal"),J74,0)</f>
        <v>0</v>
      </c>
      <c r="AQ74" s="818">
        <f t="shared" ref="AQ74:AQ77" si="369">IF((P74="Terminé")*AND(E74="Territoire"),K74,0)</f>
        <v>0</v>
      </c>
      <c r="AR74" s="818">
        <f t="shared" ref="AR74:AR77" si="370">IF((P74="Terminé")*AND(E74="Agriculture"),K74,0)</f>
        <v>0</v>
      </c>
      <c r="AS74" s="818">
        <f t="shared" ref="AS74:AS77" si="371">IF((P74="Terminé")*AND(E74="Industrie"), K74,0)</f>
        <v>0</v>
      </c>
      <c r="AT74" s="818">
        <f t="shared" ref="AT74:AT77" si="372">IF((P74="Terminé")*AND(E74="Logement"), K74,0)</f>
        <v>0</v>
      </c>
      <c r="AU74" s="818">
        <f t="shared" ref="AU74:AU77" si="373">IF((P74="Terminé")*AND(E74="Tertiaire"),K74,0)</f>
        <v>0</v>
      </c>
      <c r="AV74" s="818">
        <f t="shared" ref="AV74:AV77" si="374">IF((P74="Terminé")*AND(E74="Transport"),K74,0)</f>
        <v>0</v>
      </c>
      <c r="AW74" s="818">
        <f t="shared" ref="AW74:AW77" si="375">IF((P74="Terminé")*AND(E74="Communal"),K74,0)</f>
        <v>0</v>
      </c>
      <c r="AY74" s="818">
        <f t="shared" ref="AY74:AY77" si="376">IF((P74="Terminé")*AND(E74="Territoire"),L74,0)</f>
        <v>0</v>
      </c>
      <c r="AZ74" s="818">
        <f t="shared" ref="AZ74:AZ77" si="377">IF((P74="Terminé")*AND(E74="Agriculture"),L74,0)</f>
        <v>0</v>
      </c>
      <c r="BA74" s="818">
        <f t="shared" ref="BA74:BA77" si="378">IF((P74="Terminé")*AND(E74="Industrie"), L74,0)</f>
        <v>0</v>
      </c>
      <c r="BB74" s="818">
        <f t="shared" ref="BB74:BB77" si="379">IF((P74="Terminé")*AND(E74="Logement"), L74,0)</f>
        <v>0</v>
      </c>
      <c r="BC74" s="818">
        <f t="shared" ref="BC74:BC77" si="380">IF((P74="Terminé")*AND(E74="Tertiaire"),L74,0)</f>
        <v>0</v>
      </c>
      <c r="BD74" s="818">
        <f t="shared" ref="BD74:BD77" si="381">IF((P74="Terminé")*AND(E74="Transport"),L74,0)</f>
        <v>0</v>
      </c>
      <c r="BE74" s="818">
        <f t="shared" ref="BE74:BE77" si="382">IF((P74="Terminé")*AND(E74="Communal"),L74,0)</f>
        <v>0</v>
      </c>
      <c r="BG74" s="818">
        <f t="shared" ref="BG74:BG77" si="383">IF((P74="Terminé")*AND(F74="Agriculture"),H74,0)</f>
        <v>0</v>
      </c>
      <c r="BH74" s="818">
        <f t="shared" ref="BH74:BH77" si="384">IF((P74="Terminé")*AND(F74="Industrie"),H74,0)</f>
        <v>0</v>
      </c>
      <c r="BI74" s="818">
        <f t="shared" ref="BI74:BI77" si="385">IF((P74="Terminé")*AND(F74="Citoyen"), H74,0)</f>
        <v>0</v>
      </c>
      <c r="BJ74" s="818">
        <f t="shared" ref="BJ74:BJ77" si="386">IF((P74="Terminé")*AND(F74="IDELUX"), H74,0)</f>
        <v>0</v>
      </c>
      <c r="BK74" s="820">
        <f t="shared" si="245"/>
        <v>0</v>
      </c>
      <c r="BL74" s="818">
        <f t="shared" ref="BL74:BL77" si="387">IF((P74="Terminé")*AND(F74="Tertiaire"),H74,0)</f>
        <v>0</v>
      </c>
      <c r="BN74" s="818">
        <f t="shared" ref="BN74:BN77" si="388">IF((P74="Terminé")*AND(F74="Agriculture"),J74,0)</f>
        <v>0</v>
      </c>
      <c r="BO74" s="818">
        <f t="shared" ref="BO74:BO77" si="389">IF((P74="Terminé")*AND(F74="Industrie"),J74,0)</f>
        <v>0</v>
      </c>
      <c r="BP74" s="818">
        <f t="shared" ref="BP74:BP77" si="390">IF((P74="Terminé")*AND(F74="Citoyen"), J74,0)</f>
        <v>0</v>
      </c>
      <c r="BQ74" s="818">
        <f t="shared" ref="BQ74:BQ77" si="391">IF((P74="Terminé")*AND(F74="IDELUX"), J74,0)</f>
        <v>0</v>
      </c>
      <c r="BR74" s="820">
        <f t="shared" si="246"/>
        <v>0</v>
      </c>
      <c r="BS74" s="818">
        <f t="shared" ref="BS74:BS77" si="392">IF((P74="Terminé")*AND(F74="Tertiaire"),J74,0)</f>
        <v>0</v>
      </c>
    </row>
    <row r="75" spans="1:71" s="819" customFormat="1" ht="18" customHeight="1" x14ac:dyDescent="0.25">
      <c r="A75" s="808" t="s">
        <v>923</v>
      </c>
      <c r="B75" s="808" t="str">
        <f>'ADU-58'!B$3:E$3</f>
        <v>Mobilité</v>
      </c>
      <c r="C75" s="809" t="str">
        <f>'ADU-58'!$B$8</f>
        <v>Véhicules propres</v>
      </c>
      <c r="D75" s="810" t="str">
        <f>'ADU-58'!$B$9</f>
        <v>Voitures H2</v>
      </c>
      <c r="E75" s="810" t="str">
        <f>'ADU-58'!$B$4</f>
        <v>Transport</v>
      </c>
      <c r="F75" s="810" t="str">
        <f>'ADU-58'!$B$12</f>
        <v>Citoyen</v>
      </c>
      <c r="G75" s="810" t="str">
        <f>'ADU-58'!$B$6</f>
        <v>Fonds propres</v>
      </c>
      <c r="H75" s="811">
        <f>'ADU-58'!$B$17</f>
        <v>2000000</v>
      </c>
      <c r="I75" s="810" t="str">
        <f>'ADU-58'!$B$7</f>
        <v>Néant</v>
      </c>
      <c r="J75" s="811">
        <f>'ADU-58'!$B$18</f>
        <v>0</v>
      </c>
      <c r="K75" s="811">
        <f>'ADU-58'!$B$21</f>
        <v>449195.2</v>
      </c>
      <c r="L75" s="811">
        <f>'ADU-58'!$B$22</f>
        <v>0</v>
      </c>
      <c r="M75" s="812">
        <f>'ADU-58'!$B$24</f>
        <v>0.89048146551877672</v>
      </c>
      <c r="N75" s="813">
        <f>'ADU-58'!$B$25</f>
        <v>747.79523999999992</v>
      </c>
      <c r="O75" s="814">
        <f t="shared" si="346"/>
        <v>0.37389761999999993</v>
      </c>
      <c r="P75" s="815" t="str">
        <f>'ADU-58'!$B$5</f>
        <v>A faire</v>
      </c>
      <c r="Q75" s="816">
        <f>'ADU-58'!$B$16</f>
        <v>2030</v>
      </c>
      <c r="R75" s="817" t="str">
        <f t="shared" si="347"/>
        <v/>
      </c>
      <c r="S75" s="818">
        <f t="shared" si="348"/>
        <v>0</v>
      </c>
      <c r="T75" s="818">
        <f t="shared" si="349"/>
        <v>0</v>
      </c>
      <c r="U75" s="818">
        <f t="shared" si="350"/>
        <v>0</v>
      </c>
      <c r="V75" s="818">
        <f t="shared" si="351"/>
        <v>0</v>
      </c>
      <c r="W75" s="818">
        <f t="shared" si="352"/>
        <v>0</v>
      </c>
      <c r="X75" s="818">
        <f t="shared" si="353"/>
        <v>0</v>
      </c>
      <c r="Y75" s="818">
        <f t="shared" si="354"/>
        <v>0</v>
      </c>
      <c r="AA75" s="818">
        <f t="shared" si="355"/>
        <v>0</v>
      </c>
      <c r="AB75" s="818">
        <f t="shared" si="356"/>
        <v>0</v>
      </c>
      <c r="AC75" s="818">
        <f t="shared" si="357"/>
        <v>0</v>
      </c>
      <c r="AD75" s="818">
        <f t="shared" si="358"/>
        <v>0</v>
      </c>
      <c r="AE75" s="818">
        <f t="shared" si="359"/>
        <v>0</v>
      </c>
      <c r="AF75" s="818">
        <f t="shared" si="360"/>
        <v>0</v>
      </c>
      <c r="AG75" s="818">
        <f t="shared" si="361"/>
        <v>0</v>
      </c>
      <c r="AI75" s="818">
        <f t="shared" si="362"/>
        <v>0</v>
      </c>
      <c r="AJ75" s="818">
        <f t="shared" si="363"/>
        <v>0</v>
      </c>
      <c r="AK75" s="818">
        <f t="shared" si="364"/>
        <v>0</v>
      </c>
      <c r="AL75" s="818">
        <f t="shared" si="365"/>
        <v>0</v>
      </c>
      <c r="AM75" s="818">
        <f t="shared" si="366"/>
        <v>0</v>
      </c>
      <c r="AN75" s="818">
        <f t="shared" si="367"/>
        <v>0</v>
      </c>
      <c r="AO75" s="818">
        <f t="shared" si="368"/>
        <v>0</v>
      </c>
      <c r="AQ75" s="818">
        <f t="shared" si="369"/>
        <v>0</v>
      </c>
      <c r="AR75" s="818">
        <f t="shared" si="370"/>
        <v>0</v>
      </c>
      <c r="AS75" s="818">
        <f t="shared" si="371"/>
        <v>0</v>
      </c>
      <c r="AT75" s="818">
        <f t="shared" si="372"/>
        <v>0</v>
      </c>
      <c r="AU75" s="818">
        <f t="shared" si="373"/>
        <v>0</v>
      </c>
      <c r="AV75" s="818">
        <f t="shared" si="374"/>
        <v>0</v>
      </c>
      <c r="AW75" s="818">
        <f t="shared" si="375"/>
        <v>0</v>
      </c>
      <c r="AY75" s="818">
        <f t="shared" si="376"/>
        <v>0</v>
      </c>
      <c r="AZ75" s="818">
        <f t="shared" si="377"/>
        <v>0</v>
      </c>
      <c r="BA75" s="818">
        <f t="shared" si="378"/>
        <v>0</v>
      </c>
      <c r="BB75" s="818">
        <f t="shared" si="379"/>
        <v>0</v>
      </c>
      <c r="BC75" s="818">
        <f t="shared" si="380"/>
        <v>0</v>
      </c>
      <c r="BD75" s="818">
        <f t="shared" si="381"/>
        <v>0</v>
      </c>
      <c r="BE75" s="818">
        <f t="shared" si="382"/>
        <v>0</v>
      </c>
      <c r="BG75" s="818">
        <f t="shared" si="383"/>
        <v>0</v>
      </c>
      <c r="BH75" s="818">
        <f t="shared" si="384"/>
        <v>0</v>
      </c>
      <c r="BI75" s="818">
        <f t="shared" si="385"/>
        <v>0</v>
      </c>
      <c r="BJ75" s="818">
        <f t="shared" si="386"/>
        <v>0</v>
      </c>
      <c r="BK75" s="820">
        <f t="shared" si="245"/>
        <v>0</v>
      </c>
      <c r="BL75" s="818">
        <f t="shared" si="387"/>
        <v>0</v>
      </c>
      <c r="BN75" s="818">
        <f t="shared" si="388"/>
        <v>0</v>
      </c>
      <c r="BO75" s="818">
        <f t="shared" si="389"/>
        <v>0</v>
      </c>
      <c r="BP75" s="818">
        <f t="shared" si="390"/>
        <v>0</v>
      </c>
      <c r="BQ75" s="818">
        <f t="shared" si="391"/>
        <v>0</v>
      </c>
      <c r="BR75" s="820">
        <f t="shared" si="246"/>
        <v>0</v>
      </c>
      <c r="BS75" s="818">
        <f t="shared" si="392"/>
        <v>0</v>
      </c>
    </row>
    <row r="76" spans="1:71" s="819" customFormat="1" ht="18" customHeight="1" x14ac:dyDescent="0.25">
      <c r="A76" s="808" t="s">
        <v>922</v>
      </c>
      <c r="B76" s="808" t="str">
        <f>'ADU-59'!B$3:E$3</f>
        <v>Mobilité</v>
      </c>
      <c r="C76" s="809" t="str">
        <f>'ADU-59'!$B$8</f>
        <v>Véhicules propres</v>
      </c>
      <c r="D76" s="810" t="str">
        <f>'ADU-59'!$B$9</f>
        <v>Voitures CNG</v>
      </c>
      <c r="E76" s="810" t="str">
        <f>'ADU-59'!$B$4</f>
        <v>Transport</v>
      </c>
      <c r="F76" s="810" t="str">
        <f>'ADU-59'!$B$12</f>
        <v>Citoyen</v>
      </c>
      <c r="G76" s="810" t="str">
        <f>'ADU-59'!$B$6</f>
        <v>Fonds propres</v>
      </c>
      <c r="H76" s="811">
        <f>'ADU-59'!$B$17</f>
        <v>11000000</v>
      </c>
      <c r="I76" s="810" t="str">
        <f>'ADU-59'!$B$7</f>
        <v>Néant</v>
      </c>
      <c r="J76" s="811">
        <f>'ADU-59'!$B$18</f>
        <v>0</v>
      </c>
      <c r="K76" s="811">
        <f>'ADU-59'!$B$21</f>
        <v>441465</v>
      </c>
      <c r="L76" s="811">
        <f>'ADU-59'!$B$22</f>
        <v>0</v>
      </c>
      <c r="M76" s="812">
        <f>'ADU-59'!$B$24</f>
        <v>2.265185235522635</v>
      </c>
      <c r="N76" s="813">
        <f>'ADU-59'!$B$25</f>
        <v>304.37850000000003</v>
      </c>
      <c r="O76" s="814">
        <f t="shared" si="346"/>
        <v>2.7670772727272731E-2</v>
      </c>
      <c r="P76" s="815" t="str">
        <f>'ADU-59'!$B$5</f>
        <v>A faire</v>
      </c>
      <c r="Q76" s="816">
        <f>'ADU-59'!$B$16</f>
        <v>2030</v>
      </c>
      <c r="R76" s="817" t="str">
        <f t="shared" si="347"/>
        <v/>
      </c>
      <c r="S76" s="818">
        <f t="shared" si="348"/>
        <v>0</v>
      </c>
      <c r="T76" s="818">
        <f t="shared" si="349"/>
        <v>0</v>
      </c>
      <c r="U76" s="818">
        <f t="shared" si="350"/>
        <v>0</v>
      </c>
      <c r="V76" s="818">
        <f t="shared" si="351"/>
        <v>0</v>
      </c>
      <c r="W76" s="818">
        <f t="shared" si="352"/>
        <v>0</v>
      </c>
      <c r="X76" s="818">
        <f t="shared" si="353"/>
        <v>0</v>
      </c>
      <c r="Y76" s="818">
        <f t="shared" si="354"/>
        <v>0</v>
      </c>
      <c r="AA76" s="818">
        <f t="shared" si="355"/>
        <v>0</v>
      </c>
      <c r="AB76" s="818">
        <f t="shared" si="356"/>
        <v>0</v>
      </c>
      <c r="AC76" s="818">
        <f t="shared" si="357"/>
        <v>0</v>
      </c>
      <c r="AD76" s="818">
        <f t="shared" si="358"/>
        <v>0</v>
      </c>
      <c r="AE76" s="818">
        <f t="shared" si="359"/>
        <v>0</v>
      </c>
      <c r="AF76" s="818">
        <f t="shared" si="360"/>
        <v>0</v>
      </c>
      <c r="AG76" s="818">
        <f t="shared" si="361"/>
        <v>0</v>
      </c>
      <c r="AI76" s="818">
        <f t="shared" si="362"/>
        <v>0</v>
      </c>
      <c r="AJ76" s="818">
        <f t="shared" si="363"/>
        <v>0</v>
      </c>
      <c r="AK76" s="818">
        <f t="shared" si="364"/>
        <v>0</v>
      </c>
      <c r="AL76" s="818">
        <f t="shared" si="365"/>
        <v>0</v>
      </c>
      <c r="AM76" s="818">
        <f t="shared" si="366"/>
        <v>0</v>
      </c>
      <c r="AN76" s="818">
        <f t="shared" si="367"/>
        <v>0</v>
      </c>
      <c r="AO76" s="818">
        <f t="shared" si="368"/>
        <v>0</v>
      </c>
      <c r="AQ76" s="818">
        <f t="shared" si="369"/>
        <v>0</v>
      </c>
      <c r="AR76" s="818">
        <f t="shared" si="370"/>
        <v>0</v>
      </c>
      <c r="AS76" s="818">
        <f t="shared" si="371"/>
        <v>0</v>
      </c>
      <c r="AT76" s="818">
        <f t="shared" si="372"/>
        <v>0</v>
      </c>
      <c r="AU76" s="818">
        <f t="shared" si="373"/>
        <v>0</v>
      </c>
      <c r="AV76" s="818">
        <f t="shared" si="374"/>
        <v>0</v>
      </c>
      <c r="AW76" s="818">
        <f t="shared" si="375"/>
        <v>0</v>
      </c>
      <c r="AY76" s="818">
        <f t="shared" si="376"/>
        <v>0</v>
      </c>
      <c r="AZ76" s="818">
        <f t="shared" si="377"/>
        <v>0</v>
      </c>
      <c r="BA76" s="818">
        <f t="shared" si="378"/>
        <v>0</v>
      </c>
      <c r="BB76" s="818">
        <f t="shared" si="379"/>
        <v>0</v>
      </c>
      <c r="BC76" s="818">
        <f t="shared" si="380"/>
        <v>0</v>
      </c>
      <c r="BD76" s="818">
        <f t="shared" si="381"/>
        <v>0</v>
      </c>
      <c r="BE76" s="818">
        <f t="shared" si="382"/>
        <v>0</v>
      </c>
      <c r="BG76" s="818">
        <f t="shared" si="383"/>
        <v>0</v>
      </c>
      <c r="BH76" s="818">
        <f t="shared" si="384"/>
        <v>0</v>
      </c>
      <c r="BI76" s="818">
        <f t="shared" si="385"/>
        <v>0</v>
      </c>
      <c r="BJ76" s="818">
        <f t="shared" si="386"/>
        <v>0</v>
      </c>
      <c r="BK76" s="820">
        <f t="shared" si="245"/>
        <v>0</v>
      </c>
      <c r="BL76" s="818">
        <f t="shared" si="387"/>
        <v>0</v>
      </c>
      <c r="BN76" s="818">
        <f t="shared" si="388"/>
        <v>0</v>
      </c>
      <c r="BO76" s="818">
        <f t="shared" si="389"/>
        <v>0</v>
      </c>
      <c r="BP76" s="818">
        <f t="shared" si="390"/>
        <v>0</v>
      </c>
      <c r="BQ76" s="818">
        <f t="shared" si="391"/>
        <v>0</v>
      </c>
      <c r="BR76" s="820">
        <f t="shared" si="246"/>
        <v>0</v>
      </c>
      <c r="BS76" s="818">
        <f t="shared" si="392"/>
        <v>0</v>
      </c>
    </row>
    <row r="77" spans="1:71" s="819" customFormat="1" ht="18" customHeight="1" x14ac:dyDescent="0.25">
      <c r="A77" s="808" t="s">
        <v>921</v>
      </c>
      <c r="B77" s="808" t="str">
        <f>'ADU-60'!B$3:E$3</f>
        <v>Mobilité</v>
      </c>
      <c r="C77" s="809" t="str">
        <f>'ADU-60'!$B$8</f>
        <v>Véhicules propres</v>
      </c>
      <c r="D77" s="810" t="str">
        <f>'ADU-60'!$B$9</f>
        <v>Station CNG</v>
      </c>
      <c r="E77" s="810" t="str">
        <f>'ADU-60'!$B$4</f>
        <v>Transport</v>
      </c>
      <c r="F77" s="810" t="str">
        <f>'ADU-60'!$B$12</f>
        <v>IDELUX</v>
      </c>
      <c r="G77" s="810" t="str">
        <f>'ADU-60'!$B$6</f>
        <v>Fonds propres</v>
      </c>
      <c r="H77" s="811">
        <f>'ADU-60'!$B$17</f>
        <v>330000</v>
      </c>
      <c r="I77" s="810" t="str">
        <f>'ADU-60'!$B$7</f>
        <v>Néant</v>
      </c>
      <c r="J77" s="811">
        <f>'ADU-60'!$B$18</f>
        <v>0</v>
      </c>
      <c r="K77" s="811">
        <f>'ADU-60'!$B$21</f>
        <v>0</v>
      </c>
      <c r="L77" s="811">
        <f>'ADU-60'!$B$22</f>
        <v>0</v>
      </c>
      <c r="M77" s="812" t="e">
        <f>'ADU-60'!$B$24</f>
        <v>#DIV/0!</v>
      </c>
      <c r="N77" s="813">
        <f>'ADU-60'!$B$25</f>
        <v>0</v>
      </c>
      <c r="O77" s="814">
        <f t="shared" si="346"/>
        <v>0</v>
      </c>
      <c r="P77" s="815" t="str">
        <f>'ADU-60'!$B$5</f>
        <v>A faire</v>
      </c>
      <c r="Q77" s="816">
        <f>'ADU-60'!$B$16</f>
        <v>2022</v>
      </c>
      <c r="R77" s="817" t="str">
        <f t="shared" si="347"/>
        <v/>
      </c>
      <c r="S77" s="818">
        <f t="shared" si="348"/>
        <v>0</v>
      </c>
      <c r="T77" s="818">
        <f t="shared" si="349"/>
        <v>0</v>
      </c>
      <c r="U77" s="818">
        <f t="shared" si="350"/>
        <v>0</v>
      </c>
      <c r="V77" s="818">
        <f t="shared" si="351"/>
        <v>0</v>
      </c>
      <c r="W77" s="818">
        <f t="shared" si="352"/>
        <v>0</v>
      </c>
      <c r="X77" s="818">
        <f t="shared" si="353"/>
        <v>0</v>
      </c>
      <c r="Y77" s="818">
        <f t="shared" si="354"/>
        <v>0</v>
      </c>
      <c r="AA77" s="818">
        <f t="shared" si="355"/>
        <v>0</v>
      </c>
      <c r="AB77" s="818">
        <f t="shared" si="356"/>
        <v>0</v>
      </c>
      <c r="AC77" s="818">
        <f t="shared" si="357"/>
        <v>0</v>
      </c>
      <c r="AD77" s="818">
        <f t="shared" si="358"/>
        <v>0</v>
      </c>
      <c r="AE77" s="818">
        <f t="shared" si="359"/>
        <v>0</v>
      </c>
      <c r="AF77" s="818">
        <f t="shared" si="360"/>
        <v>0</v>
      </c>
      <c r="AG77" s="818">
        <f t="shared" si="361"/>
        <v>0</v>
      </c>
      <c r="AI77" s="818">
        <f t="shared" si="362"/>
        <v>0</v>
      </c>
      <c r="AJ77" s="818">
        <f t="shared" si="363"/>
        <v>0</v>
      </c>
      <c r="AK77" s="818">
        <f t="shared" si="364"/>
        <v>0</v>
      </c>
      <c r="AL77" s="818">
        <f t="shared" si="365"/>
        <v>0</v>
      </c>
      <c r="AM77" s="818">
        <f t="shared" si="366"/>
        <v>0</v>
      </c>
      <c r="AN77" s="818">
        <f t="shared" si="367"/>
        <v>0</v>
      </c>
      <c r="AO77" s="818">
        <f t="shared" si="368"/>
        <v>0</v>
      </c>
      <c r="AQ77" s="818">
        <f t="shared" si="369"/>
        <v>0</v>
      </c>
      <c r="AR77" s="818">
        <f t="shared" si="370"/>
        <v>0</v>
      </c>
      <c r="AS77" s="818">
        <f t="shared" si="371"/>
        <v>0</v>
      </c>
      <c r="AT77" s="818">
        <f t="shared" si="372"/>
        <v>0</v>
      </c>
      <c r="AU77" s="818">
        <f t="shared" si="373"/>
        <v>0</v>
      </c>
      <c r="AV77" s="818">
        <f t="shared" si="374"/>
        <v>0</v>
      </c>
      <c r="AW77" s="818">
        <f t="shared" si="375"/>
        <v>0</v>
      </c>
      <c r="AY77" s="818">
        <f t="shared" si="376"/>
        <v>0</v>
      </c>
      <c r="AZ77" s="818">
        <f t="shared" si="377"/>
        <v>0</v>
      </c>
      <c r="BA77" s="818">
        <f t="shared" si="378"/>
        <v>0</v>
      </c>
      <c r="BB77" s="818">
        <f t="shared" si="379"/>
        <v>0</v>
      </c>
      <c r="BC77" s="818">
        <f t="shared" si="380"/>
        <v>0</v>
      </c>
      <c r="BD77" s="818">
        <f t="shared" si="381"/>
        <v>0</v>
      </c>
      <c r="BE77" s="818">
        <f t="shared" si="382"/>
        <v>0</v>
      </c>
      <c r="BG77" s="818">
        <f t="shared" si="383"/>
        <v>0</v>
      </c>
      <c r="BH77" s="818">
        <f t="shared" si="384"/>
        <v>0</v>
      </c>
      <c r="BI77" s="818">
        <f t="shared" si="385"/>
        <v>0</v>
      </c>
      <c r="BJ77" s="818">
        <f t="shared" si="386"/>
        <v>0</v>
      </c>
      <c r="BK77" s="820">
        <f t="shared" ref="BK77:BK113" si="393">IF((P77="Terminé")*AND(F77="AC MESSANCY"),H77,0)</f>
        <v>0</v>
      </c>
      <c r="BL77" s="818">
        <f t="shared" si="387"/>
        <v>0</v>
      </c>
      <c r="BN77" s="818">
        <f t="shared" si="388"/>
        <v>0</v>
      </c>
      <c r="BO77" s="818">
        <f t="shared" si="389"/>
        <v>0</v>
      </c>
      <c r="BP77" s="818">
        <f t="shared" si="390"/>
        <v>0</v>
      </c>
      <c r="BQ77" s="818">
        <f t="shared" si="391"/>
        <v>0</v>
      </c>
      <c r="BR77" s="820">
        <f t="shared" ref="BR77:BR113" si="394">IF((P77="Terminé")*AND(F77="AC MESSANCY"),J77,0)</f>
        <v>0</v>
      </c>
      <c r="BS77" s="818">
        <f t="shared" si="392"/>
        <v>0</v>
      </c>
    </row>
    <row r="78" spans="1:71" s="819" customFormat="1" ht="18" customHeight="1" x14ac:dyDescent="0.25">
      <c r="A78" s="808" t="s">
        <v>251</v>
      </c>
      <c r="B78" s="808" t="str">
        <f>'ADU-61'!B$3:E$3</f>
        <v>Mobilité</v>
      </c>
      <c r="C78" s="809" t="str">
        <f>'ADU-61'!$B$8</f>
        <v>Citoyens</v>
      </c>
      <c r="D78" s="810" t="str">
        <f>'ADU-61'!$B$9</f>
        <v>Ecopaturage</v>
      </c>
      <c r="E78" s="810" t="str">
        <f>'ADU-61'!$B$4</f>
        <v>Transport</v>
      </c>
      <c r="F78" s="810" t="str">
        <f>'ADU-61'!$B$12</f>
        <v>Citoyen</v>
      </c>
      <c r="G78" s="810" t="str">
        <f>'ADU-61'!$B$6</f>
        <v>Néant</v>
      </c>
      <c r="H78" s="811">
        <f>'ADU-61'!$B$17</f>
        <v>0</v>
      </c>
      <c r="I78" s="810" t="str">
        <f>'ADU-61'!$B$7</f>
        <v>Néant</v>
      </c>
      <c r="J78" s="811">
        <f>'ADU-61'!$B$18</f>
        <v>0</v>
      </c>
      <c r="K78" s="811">
        <f>'ADU-61'!$B$21</f>
        <v>640</v>
      </c>
      <c r="L78" s="811">
        <f>'ADU-61'!$B$22</f>
        <v>0</v>
      </c>
      <c r="M78" s="812">
        <f>'ADU-61'!$B$24</f>
        <v>0</v>
      </c>
      <c r="N78" s="813">
        <f>'ADU-61'!$B$25</f>
        <v>1.0728</v>
      </c>
      <c r="O78" s="814">
        <f>IF(H78=0,0,N78/(H78-J78)*1000)</f>
        <v>0</v>
      </c>
      <c r="P78" s="815" t="str">
        <f>'ADU-61'!$B$5</f>
        <v>A faire</v>
      </c>
      <c r="Q78" s="816">
        <f>'ADU-61'!$B$16</f>
        <v>2030</v>
      </c>
      <c r="R78" s="817" t="str">
        <f t="shared" ref="R78" si="395">IF(P78="terminé", N78,"")</f>
        <v/>
      </c>
      <c r="S78" s="818">
        <f t="shared" ref="S78" si="396">IF((P78="Terminé")*AND(E78="Territoire"),N78,0)</f>
        <v>0</v>
      </c>
      <c r="T78" s="818">
        <f t="shared" ref="T78" si="397">IF((P78="Terminé")*AND(E78="Agriculture"),N78,0)</f>
        <v>0</v>
      </c>
      <c r="U78" s="818">
        <f t="shared" ref="U78" si="398">IF((P78="Terminé")*AND(E78="Industrie"), N78,0)</f>
        <v>0</v>
      </c>
      <c r="V78" s="818">
        <f t="shared" ref="V78" si="399">IF((P78="Terminé")*AND(E78="Logement"),N78,0)</f>
        <v>0</v>
      </c>
      <c r="W78" s="818">
        <f t="shared" ref="W78" si="400">IF((P78="Terminé")*AND(E78="Tertiaire"),N78,0)</f>
        <v>0</v>
      </c>
      <c r="X78" s="818">
        <f t="shared" ref="X78" si="401">IF((P78="Terminé")*AND(E78="Transport"),N78,0)</f>
        <v>0</v>
      </c>
      <c r="Y78" s="818">
        <f t="shared" ref="Y78" si="402">IF((P78="Terminé")*AND(E78="Communal"),N78,0)</f>
        <v>0</v>
      </c>
      <c r="AA78" s="818">
        <f t="shared" ref="AA78" si="403">IF((P78="Terminé")*AND(E78="Territoire"),H78,0)</f>
        <v>0</v>
      </c>
      <c r="AB78" s="818">
        <f t="shared" ref="AB78" si="404">IF((P78="Terminé")*AND(E78="Agriculture"),H78,0)</f>
        <v>0</v>
      </c>
      <c r="AC78" s="818">
        <f t="shared" ref="AC78" si="405">IF((P78="Terminé")*AND(E78="Industrie"), H78,0)</f>
        <v>0</v>
      </c>
      <c r="AD78" s="818">
        <f t="shared" ref="AD78" si="406">IF((P78="Terminé")*AND(E78="Logement"), H78,0)</f>
        <v>0</v>
      </c>
      <c r="AE78" s="818">
        <f t="shared" ref="AE78" si="407">IF((P78="Terminé")*AND(E78="Tertiaire"),H78,0)</f>
        <v>0</v>
      </c>
      <c r="AF78" s="818">
        <f t="shared" ref="AF78" si="408">IF((P78="Terminé")*AND(E78="Transport"),H78,0)</f>
        <v>0</v>
      </c>
      <c r="AG78" s="818">
        <f t="shared" ref="AG78" si="409">IF((P78="Terminé")*AND(E78="Communal"),H78,0)</f>
        <v>0</v>
      </c>
      <c r="AI78" s="818">
        <f t="shared" ref="AI78" si="410">IF((P78="Terminé")*AND(E78="Territoire"),J78,0)</f>
        <v>0</v>
      </c>
      <c r="AJ78" s="818">
        <f t="shared" ref="AJ78" si="411">IF((P78="Terminé")*AND(E78="Agriculture"),J78,0)</f>
        <v>0</v>
      </c>
      <c r="AK78" s="818">
        <f t="shared" ref="AK78" si="412">IF((P78="Terminé")*AND(E78="Industrie"), J78,0)</f>
        <v>0</v>
      </c>
      <c r="AL78" s="818">
        <f t="shared" ref="AL78" si="413">IF((P78="Terminé")*AND(E78="Logement"), J78,0)</f>
        <v>0</v>
      </c>
      <c r="AM78" s="818">
        <f t="shared" ref="AM78" si="414">IF((P78="Terminé")*AND(E78="Tertiaire"),J78,0)</f>
        <v>0</v>
      </c>
      <c r="AN78" s="818">
        <f t="shared" ref="AN78" si="415">IF((P78="Terminé")*AND(E78="Transport"),J78,0)</f>
        <v>0</v>
      </c>
      <c r="AO78" s="818">
        <f t="shared" ref="AO78" si="416">IF((P78="Terminé")*AND(E78="Communal"),J78,0)</f>
        <v>0</v>
      </c>
      <c r="AQ78" s="818">
        <f t="shared" ref="AQ78" si="417">IF((P78="Terminé")*AND(E78="Territoire"),K78,0)</f>
        <v>0</v>
      </c>
      <c r="AR78" s="818">
        <f t="shared" ref="AR78" si="418">IF((P78="Terminé")*AND(E78="Agriculture"),K78,0)</f>
        <v>0</v>
      </c>
      <c r="AS78" s="818">
        <f t="shared" ref="AS78" si="419">IF((P78="Terminé")*AND(E78="Industrie"), K78,0)</f>
        <v>0</v>
      </c>
      <c r="AT78" s="818">
        <f t="shared" ref="AT78" si="420">IF((P78="Terminé")*AND(E78="Logement"), K78,0)</f>
        <v>0</v>
      </c>
      <c r="AU78" s="818">
        <f t="shared" ref="AU78" si="421">IF((P78="Terminé")*AND(E78="Tertiaire"),K78,0)</f>
        <v>0</v>
      </c>
      <c r="AV78" s="818">
        <f t="shared" ref="AV78" si="422">IF((P78="Terminé")*AND(E78="Transport"),K78,0)</f>
        <v>0</v>
      </c>
      <c r="AW78" s="818">
        <f t="shared" ref="AW78" si="423">IF((P78="Terminé")*AND(E78="Communal"),K78,0)</f>
        <v>0</v>
      </c>
      <c r="AY78" s="818">
        <f t="shared" ref="AY78" si="424">IF((P78="Terminé")*AND(E78="Territoire"),L78,0)</f>
        <v>0</v>
      </c>
      <c r="AZ78" s="818">
        <f t="shared" ref="AZ78" si="425">IF((P78="Terminé")*AND(E78="Agriculture"),L78,0)</f>
        <v>0</v>
      </c>
      <c r="BA78" s="818">
        <f t="shared" ref="BA78" si="426">IF((P78="Terminé")*AND(E78="Industrie"), L78,0)</f>
        <v>0</v>
      </c>
      <c r="BB78" s="818">
        <f t="shared" ref="BB78" si="427">IF((P78="Terminé")*AND(E78="Logement"), L78,0)</f>
        <v>0</v>
      </c>
      <c r="BC78" s="818">
        <f t="shared" ref="BC78" si="428">IF((P78="Terminé")*AND(E78="Tertiaire"),L78,0)</f>
        <v>0</v>
      </c>
      <c r="BD78" s="818">
        <f t="shared" ref="BD78" si="429">IF((P78="Terminé")*AND(E78="Transport"),L78,0)</f>
        <v>0</v>
      </c>
      <c r="BE78" s="818">
        <f t="shared" ref="BE78" si="430">IF((P78="Terminé")*AND(E78="Communal"),L78,0)</f>
        <v>0</v>
      </c>
      <c r="BG78" s="818">
        <f t="shared" ref="BG78" si="431">IF((P78="Terminé")*AND(F78="Agriculture"),H78,0)</f>
        <v>0</v>
      </c>
      <c r="BH78" s="818">
        <f t="shared" ref="BH78" si="432">IF((P78="Terminé")*AND(F78="Industrie"),H78,0)</f>
        <v>0</v>
      </c>
      <c r="BI78" s="818">
        <f t="shared" ref="BI78" si="433">IF((P78="Terminé")*AND(F78="Citoyen"), H78,0)</f>
        <v>0</v>
      </c>
      <c r="BJ78" s="818">
        <f t="shared" ref="BJ78" si="434">IF((P78="Terminé")*AND(F78="IDELUX"), H78,0)</f>
        <v>0</v>
      </c>
      <c r="BK78" s="820">
        <f t="shared" ref="BK78" si="435">IF((P78="Terminé")*AND(F78="AC MESSANCY"),H78,0)</f>
        <v>0</v>
      </c>
      <c r="BL78" s="818">
        <f t="shared" ref="BL78" si="436">IF((P78="Terminé")*AND(F78="Tertiaire"),H78,0)</f>
        <v>0</v>
      </c>
      <c r="BN78" s="818">
        <f t="shared" ref="BN78" si="437">IF((P78="Terminé")*AND(F78="Agriculture"),J78,0)</f>
        <v>0</v>
      </c>
      <c r="BO78" s="818">
        <f t="shared" ref="BO78" si="438">IF((P78="Terminé")*AND(F78="Industrie"),J78,0)</f>
        <v>0</v>
      </c>
      <c r="BP78" s="818">
        <f t="shared" ref="BP78" si="439">IF((P78="Terminé")*AND(F78="Citoyen"), J78,0)</f>
        <v>0</v>
      </c>
      <c r="BQ78" s="818">
        <f t="shared" ref="BQ78" si="440">IF((P78="Terminé")*AND(F78="IDELUX"), J78,0)</f>
        <v>0</v>
      </c>
      <c r="BR78" s="820">
        <f t="shared" ref="BR78" si="441">IF((P78="Terminé")*AND(F78="AC MESSANCY"),J78,0)</f>
        <v>0</v>
      </c>
      <c r="BS78" s="818">
        <f t="shared" ref="BS78" si="442">IF((P78="Terminé")*AND(F78="Tertiaire"),J78,0)</f>
        <v>0</v>
      </c>
    </row>
    <row r="79" spans="1:71" s="819" customFormat="1" ht="18" customHeight="1" x14ac:dyDescent="0.25">
      <c r="A79" s="808" t="s">
        <v>1038</v>
      </c>
      <c r="B79" s="808" t="str">
        <f>'ADU-62'!B$3:E$3</f>
        <v>Mobilité</v>
      </c>
      <c r="C79" s="809" t="str">
        <f>'ADU-62'!$B$8</f>
        <v>Véhicules communaux</v>
      </c>
      <c r="D79" s="810" t="str">
        <f>'ADU-62'!$B$9</f>
        <v>Véhicules CNG</v>
      </c>
      <c r="E79" s="810" t="str">
        <f>'ADU-62'!$B$4</f>
        <v>Transport</v>
      </c>
      <c r="F79" s="810" t="str">
        <f>'ADU-62'!$B$12</f>
        <v>AC MESSANCY</v>
      </c>
      <c r="G79" s="810" t="str">
        <f>'ADU-62'!$B$6</f>
        <v>Fonds propres</v>
      </c>
      <c r="H79" s="811">
        <f>'ADU-62'!$B$17</f>
        <v>330000</v>
      </c>
      <c r="I79" s="810" t="str">
        <f>'ADU-62'!$B$7</f>
        <v>Néant</v>
      </c>
      <c r="J79" s="811">
        <f>'ADU-62'!$B$18</f>
        <v>0</v>
      </c>
      <c r="K79" s="811">
        <f>'ADU-62'!$B$21</f>
        <v>22073.25</v>
      </c>
      <c r="L79" s="811">
        <f>'ADU-62'!$B$22</f>
        <v>0</v>
      </c>
      <c r="M79" s="812">
        <f>'ADU-62'!$B$24</f>
        <v>1.359111141313581</v>
      </c>
      <c r="N79" s="813">
        <f>'ADU-62'!$B$25</f>
        <v>15.218924999999999</v>
      </c>
      <c r="O79" s="814">
        <f t="shared" ref="O79:O82" si="443">IF(H79=0,0,N79/(H79-J79)*1000)</f>
        <v>4.6117954545454538E-2</v>
      </c>
      <c r="P79" s="815" t="str">
        <f>'ADU-62'!$B$5</f>
        <v>A faire</v>
      </c>
      <c r="Q79" s="816">
        <f>'ADU-62'!$B$16</f>
        <v>2030</v>
      </c>
      <c r="R79" s="817" t="str">
        <f t="shared" ref="R79:R82" si="444">IF(P79="terminé", N79,"")</f>
        <v/>
      </c>
      <c r="S79" s="818">
        <f t="shared" ref="S79:S82" si="445">IF((P79="Terminé")*AND(E79="Territoire"),N79,0)</f>
        <v>0</v>
      </c>
      <c r="T79" s="818">
        <f t="shared" ref="T79:T82" si="446">IF((P79="Terminé")*AND(E79="Agriculture"),N79,0)</f>
        <v>0</v>
      </c>
      <c r="U79" s="818">
        <f t="shared" ref="U79:U82" si="447">IF((P79="Terminé")*AND(E79="Industrie"), N79,0)</f>
        <v>0</v>
      </c>
      <c r="V79" s="818">
        <f t="shared" ref="V79:V82" si="448">IF((P79="Terminé")*AND(E79="Logement"),N79,0)</f>
        <v>0</v>
      </c>
      <c r="W79" s="818">
        <f t="shared" ref="W79:W82" si="449">IF((P79="Terminé")*AND(E79="Tertiaire"),N79,0)</f>
        <v>0</v>
      </c>
      <c r="X79" s="818">
        <f t="shared" ref="X79:X82" si="450">IF((P79="Terminé")*AND(E79="Transport"),N79,0)</f>
        <v>0</v>
      </c>
      <c r="Y79" s="818">
        <f t="shared" ref="Y79:Y82" si="451">IF((P79="Terminé")*AND(E79="Communal"),N79,0)</f>
        <v>0</v>
      </c>
      <c r="AA79" s="818">
        <f t="shared" ref="AA79:AA82" si="452">IF((P79="Terminé")*AND(E79="Territoire"),H79,0)</f>
        <v>0</v>
      </c>
      <c r="AB79" s="818">
        <f t="shared" ref="AB79:AB82" si="453">IF((P79="Terminé")*AND(E79="Agriculture"),H79,0)</f>
        <v>0</v>
      </c>
      <c r="AC79" s="818">
        <f t="shared" ref="AC79:AC82" si="454">IF((P79="Terminé")*AND(E79="Industrie"), H79,0)</f>
        <v>0</v>
      </c>
      <c r="AD79" s="818">
        <f t="shared" ref="AD79:AD82" si="455">IF((P79="Terminé")*AND(E79="Logement"), H79,0)</f>
        <v>0</v>
      </c>
      <c r="AE79" s="818">
        <f t="shared" ref="AE79:AE82" si="456">IF((P79="Terminé")*AND(E79="Tertiaire"),H79,0)</f>
        <v>0</v>
      </c>
      <c r="AF79" s="818">
        <f t="shared" ref="AF79:AF82" si="457">IF((P79="Terminé")*AND(E79="Transport"),H79,0)</f>
        <v>0</v>
      </c>
      <c r="AG79" s="818">
        <f t="shared" ref="AG79:AG82" si="458">IF((P79="Terminé")*AND(E79="Communal"),H79,0)</f>
        <v>0</v>
      </c>
      <c r="AI79" s="818">
        <f t="shared" ref="AI79:AI82" si="459">IF((P79="Terminé")*AND(E79="Territoire"),J79,0)</f>
        <v>0</v>
      </c>
      <c r="AJ79" s="818">
        <f t="shared" ref="AJ79:AJ82" si="460">IF((P79="Terminé")*AND(E79="Agriculture"),J79,0)</f>
        <v>0</v>
      </c>
      <c r="AK79" s="818">
        <f t="shared" ref="AK79:AK82" si="461">IF((P79="Terminé")*AND(E79="Industrie"), J79,0)</f>
        <v>0</v>
      </c>
      <c r="AL79" s="818">
        <f t="shared" ref="AL79:AL82" si="462">IF((P79="Terminé")*AND(E79="Logement"), J79,0)</f>
        <v>0</v>
      </c>
      <c r="AM79" s="818">
        <f t="shared" ref="AM79:AM82" si="463">IF((P79="Terminé")*AND(E79="Tertiaire"),J79,0)</f>
        <v>0</v>
      </c>
      <c r="AN79" s="818">
        <f t="shared" ref="AN79:AN82" si="464">IF((P79="Terminé")*AND(E79="Transport"),J79,0)</f>
        <v>0</v>
      </c>
      <c r="AO79" s="818">
        <f t="shared" ref="AO79:AO82" si="465">IF((P79="Terminé")*AND(E79="Communal"),J79,0)</f>
        <v>0</v>
      </c>
      <c r="AQ79" s="818">
        <f t="shared" ref="AQ79:AQ82" si="466">IF((P79="Terminé")*AND(E79="Territoire"),K79,0)</f>
        <v>0</v>
      </c>
      <c r="AR79" s="818">
        <f t="shared" ref="AR79:AR82" si="467">IF((P79="Terminé")*AND(E79="Agriculture"),K79,0)</f>
        <v>0</v>
      </c>
      <c r="AS79" s="818">
        <f t="shared" ref="AS79:AS82" si="468">IF((P79="Terminé")*AND(E79="Industrie"), K79,0)</f>
        <v>0</v>
      </c>
      <c r="AT79" s="818">
        <f t="shared" ref="AT79:AT82" si="469">IF((P79="Terminé")*AND(E79="Logement"), K79,0)</f>
        <v>0</v>
      </c>
      <c r="AU79" s="818">
        <f t="shared" ref="AU79:AU82" si="470">IF((P79="Terminé")*AND(E79="Tertiaire"),K79,0)</f>
        <v>0</v>
      </c>
      <c r="AV79" s="818">
        <f t="shared" ref="AV79:AV82" si="471">IF((P79="Terminé")*AND(E79="Transport"),K79,0)</f>
        <v>0</v>
      </c>
      <c r="AW79" s="818">
        <f t="shared" ref="AW79:AW82" si="472">IF((P79="Terminé")*AND(E79="Communal"),K79,0)</f>
        <v>0</v>
      </c>
      <c r="AY79" s="818">
        <f t="shared" ref="AY79:AY82" si="473">IF((P79="Terminé")*AND(E79="Territoire"),L79,0)</f>
        <v>0</v>
      </c>
      <c r="AZ79" s="818">
        <f t="shared" ref="AZ79:AZ82" si="474">IF((P79="Terminé")*AND(E79="Agriculture"),L79,0)</f>
        <v>0</v>
      </c>
      <c r="BA79" s="818">
        <f t="shared" ref="BA79:BA82" si="475">IF((P79="Terminé")*AND(E79="Industrie"), L79,0)</f>
        <v>0</v>
      </c>
      <c r="BB79" s="818">
        <f t="shared" ref="BB79:BB82" si="476">IF((P79="Terminé")*AND(E79="Logement"), L79,0)</f>
        <v>0</v>
      </c>
      <c r="BC79" s="818">
        <f t="shared" ref="BC79:BC82" si="477">IF((P79="Terminé")*AND(E79="Tertiaire"),L79,0)</f>
        <v>0</v>
      </c>
      <c r="BD79" s="818">
        <f t="shared" ref="BD79:BD82" si="478">IF((P79="Terminé")*AND(E79="Transport"),L79,0)</f>
        <v>0</v>
      </c>
      <c r="BE79" s="818">
        <f t="shared" ref="BE79:BE82" si="479">IF((P79="Terminé")*AND(E79="Communal"),L79,0)</f>
        <v>0</v>
      </c>
      <c r="BG79" s="818">
        <f t="shared" ref="BG79:BG82" si="480">IF((P79="Terminé")*AND(F79="Agriculture"),H79,0)</f>
        <v>0</v>
      </c>
      <c r="BH79" s="818">
        <f t="shared" ref="BH79:BH82" si="481">IF((P79="Terminé")*AND(F79="Industrie"),H79,0)</f>
        <v>0</v>
      </c>
      <c r="BI79" s="818">
        <f t="shared" ref="BI79:BI82" si="482">IF((P79="Terminé")*AND(F79="Citoyen"), H79,0)</f>
        <v>0</v>
      </c>
      <c r="BJ79" s="818">
        <f t="shared" ref="BJ79:BJ82" si="483">IF((P79="Terminé")*AND(F79="IDELUX"), H79,0)</f>
        <v>0</v>
      </c>
      <c r="BK79" s="820">
        <f t="shared" ref="BK79:BK82" si="484">IF((P79="Terminé")*AND(F79="AC MESSANCY"),H79,0)</f>
        <v>0</v>
      </c>
      <c r="BL79" s="818">
        <f t="shared" ref="BL79:BL82" si="485">IF((P79="Terminé")*AND(F79="Tertiaire"),H79,0)</f>
        <v>0</v>
      </c>
      <c r="BN79" s="818">
        <f t="shared" ref="BN79:BN82" si="486">IF((P79="Terminé")*AND(F79="Agriculture"),J79,0)</f>
        <v>0</v>
      </c>
      <c r="BO79" s="818">
        <f t="shared" ref="BO79:BO82" si="487">IF((P79="Terminé")*AND(F79="Industrie"),J79,0)</f>
        <v>0</v>
      </c>
      <c r="BP79" s="818">
        <f t="shared" ref="BP79:BP82" si="488">IF((P79="Terminé")*AND(F79="Citoyen"), J79,0)</f>
        <v>0</v>
      </c>
      <c r="BQ79" s="818">
        <f t="shared" ref="BQ79:BQ82" si="489">IF((P79="Terminé")*AND(F79="IDELUX"), J79,0)</f>
        <v>0</v>
      </c>
      <c r="BR79" s="820">
        <f t="shared" ref="BR79:BR82" si="490">IF((P79="Terminé")*AND(F79="AC MESSANCY"),J79,0)</f>
        <v>0</v>
      </c>
      <c r="BS79" s="818">
        <f t="shared" ref="BS79:BS82" si="491">IF((P79="Terminé")*AND(F79="Tertiaire"),J79,0)</f>
        <v>0</v>
      </c>
    </row>
    <row r="80" spans="1:71" s="819" customFormat="1" ht="18" customHeight="1" x14ac:dyDescent="0.25">
      <c r="A80" s="808" t="s">
        <v>1039</v>
      </c>
      <c r="B80" s="808" t="str">
        <f>'ADU-63'!B$3:E$3</f>
        <v>Mobilité</v>
      </c>
      <c r="C80" s="809" t="str">
        <f>'ADU-63'!$B$8</f>
        <v>Véhicules communaux</v>
      </c>
      <c r="D80" s="810" t="str">
        <f>'ADU-63'!$B$9</f>
        <v xml:space="preserve">Modernisation du parc </v>
      </c>
      <c r="E80" s="810" t="str">
        <f>'ADU-63'!$B$4</f>
        <v>Transport</v>
      </c>
      <c r="F80" s="810" t="str">
        <f>'ADU-63'!$B$12</f>
        <v>AC MESSANCY</v>
      </c>
      <c r="G80" s="810" t="str">
        <f>'ADU-63'!$B$6</f>
        <v>Fonds propres</v>
      </c>
      <c r="H80" s="811">
        <f>'ADU-63'!$B$17</f>
        <v>150000</v>
      </c>
      <c r="I80" s="810" t="str">
        <f>'ADU-63'!$B$7</f>
        <v>Néant</v>
      </c>
      <c r="J80" s="811">
        <f>'ADU-63'!$B$18</f>
        <v>0</v>
      </c>
      <c r="K80" s="811">
        <f>'ADU-63'!$B$21</f>
        <v>5576.4000000000005</v>
      </c>
      <c r="L80" s="811">
        <f>'ADU-63'!$B$22</f>
        <v>0</v>
      </c>
      <c r="M80" s="812">
        <f>'ADU-63'!$B$24</f>
        <v>26.899074671831286</v>
      </c>
      <c r="N80" s="813">
        <f>'ADU-63'!$B$25</f>
        <v>9.3474404999999994</v>
      </c>
      <c r="O80" s="814">
        <f t="shared" si="443"/>
        <v>6.2316269999999993E-2</v>
      </c>
      <c r="P80" s="815" t="str">
        <f>'ADU-63'!$B$5</f>
        <v>A faire</v>
      </c>
      <c r="Q80" s="816">
        <f>'ADU-63'!$B$16</f>
        <v>2030</v>
      </c>
      <c r="R80" s="817" t="str">
        <f t="shared" si="444"/>
        <v/>
      </c>
      <c r="S80" s="818">
        <f t="shared" si="445"/>
        <v>0</v>
      </c>
      <c r="T80" s="818">
        <f t="shared" si="446"/>
        <v>0</v>
      </c>
      <c r="U80" s="818">
        <f t="shared" si="447"/>
        <v>0</v>
      </c>
      <c r="V80" s="818">
        <f t="shared" si="448"/>
        <v>0</v>
      </c>
      <c r="W80" s="818">
        <f t="shared" si="449"/>
        <v>0</v>
      </c>
      <c r="X80" s="818">
        <f t="shared" si="450"/>
        <v>0</v>
      </c>
      <c r="Y80" s="818">
        <f t="shared" si="451"/>
        <v>0</v>
      </c>
      <c r="AA80" s="818">
        <f t="shared" si="452"/>
        <v>0</v>
      </c>
      <c r="AB80" s="818">
        <f t="shared" si="453"/>
        <v>0</v>
      </c>
      <c r="AC80" s="818">
        <f t="shared" si="454"/>
        <v>0</v>
      </c>
      <c r="AD80" s="818">
        <f t="shared" si="455"/>
        <v>0</v>
      </c>
      <c r="AE80" s="818">
        <f t="shared" si="456"/>
        <v>0</v>
      </c>
      <c r="AF80" s="818">
        <f t="shared" si="457"/>
        <v>0</v>
      </c>
      <c r="AG80" s="818">
        <f t="shared" si="458"/>
        <v>0</v>
      </c>
      <c r="AI80" s="818">
        <f t="shared" si="459"/>
        <v>0</v>
      </c>
      <c r="AJ80" s="818">
        <f t="shared" si="460"/>
        <v>0</v>
      </c>
      <c r="AK80" s="818">
        <f t="shared" si="461"/>
        <v>0</v>
      </c>
      <c r="AL80" s="818">
        <f t="shared" si="462"/>
        <v>0</v>
      </c>
      <c r="AM80" s="818">
        <f t="shared" si="463"/>
        <v>0</v>
      </c>
      <c r="AN80" s="818">
        <f t="shared" si="464"/>
        <v>0</v>
      </c>
      <c r="AO80" s="818">
        <f t="shared" si="465"/>
        <v>0</v>
      </c>
      <c r="AQ80" s="818">
        <f t="shared" si="466"/>
        <v>0</v>
      </c>
      <c r="AR80" s="818">
        <f t="shared" si="467"/>
        <v>0</v>
      </c>
      <c r="AS80" s="818">
        <f t="shared" si="468"/>
        <v>0</v>
      </c>
      <c r="AT80" s="818">
        <f t="shared" si="469"/>
        <v>0</v>
      </c>
      <c r="AU80" s="818">
        <f t="shared" si="470"/>
        <v>0</v>
      </c>
      <c r="AV80" s="818">
        <f t="shared" si="471"/>
        <v>0</v>
      </c>
      <c r="AW80" s="818">
        <f t="shared" si="472"/>
        <v>0</v>
      </c>
      <c r="AY80" s="818">
        <f t="shared" si="473"/>
        <v>0</v>
      </c>
      <c r="AZ80" s="818">
        <f t="shared" si="474"/>
        <v>0</v>
      </c>
      <c r="BA80" s="818">
        <f t="shared" si="475"/>
        <v>0</v>
      </c>
      <c r="BB80" s="818">
        <f t="shared" si="476"/>
        <v>0</v>
      </c>
      <c r="BC80" s="818">
        <f t="shared" si="477"/>
        <v>0</v>
      </c>
      <c r="BD80" s="818">
        <f t="shared" si="478"/>
        <v>0</v>
      </c>
      <c r="BE80" s="818">
        <f t="shared" si="479"/>
        <v>0</v>
      </c>
      <c r="BG80" s="818">
        <f t="shared" si="480"/>
        <v>0</v>
      </c>
      <c r="BH80" s="818">
        <f t="shared" si="481"/>
        <v>0</v>
      </c>
      <c r="BI80" s="818">
        <f t="shared" si="482"/>
        <v>0</v>
      </c>
      <c r="BJ80" s="818">
        <f t="shared" si="483"/>
        <v>0</v>
      </c>
      <c r="BK80" s="820">
        <f t="shared" si="484"/>
        <v>0</v>
      </c>
      <c r="BL80" s="818">
        <f t="shared" si="485"/>
        <v>0</v>
      </c>
      <c r="BN80" s="818">
        <f t="shared" si="486"/>
        <v>0</v>
      </c>
      <c r="BO80" s="818">
        <f t="shared" si="487"/>
        <v>0</v>
      </c>
      <c r="BP80" s="818">
        <f t="shared" si="488"/>
        <v>0</v>
      </c>
      <c r="BQ80" s="818">
        <f t="shared" si="489"/>
        <v>0</v>
      </c>
      <c r="BR80" s="820">
        <f t="shared" si="490"/>
        <v>0</v>
      </c>
      <c r="BS80" s="818">
        <f t="shared" si="491"/>
        <v>0</v>
      </c>
    </row>
    <row r="81" spans="1:85" s="819" customFormat="1" ht="18" customHeight="1" x14ac:dyDescent="0.25">
      <c r="A81" s="808" t="s">
        <v>1040</v>
      </c>
      <c r="B81" s="808" t="str">
        <f>'ADU-64'!B$3:E$3</f>
        <v>Mobilité</v>
      </c>
      <c r="C81" s="809" t="str">
        <f>'ADU-64'!$B$8</f>
        <v>mobilité douce</v>
      </c>
      <c r="D81" s="810" t="str">
        <f>'ADU-64'!$B$9</f>
        <v>Voies lentes</v>
      </c>
      <c r="E81" s="810" t="str">
        <f>'ADU-64'!$B$4</f>
        <v>Transport</v>
      </c>
      <c r="F81" s="810" t="str">
        <f>'ADU-64'!$B$12</f>
        <v>AC MESSANCY</v>
      </c>
      <c r="G81" s="810" t="str">
        <f>'ADU-64'!$B$6</f>
        <v>Fonds propres</v>
      </c>
      <c r="H81" s="811">
        <f>'ADU-64'!$B$17</f>
        <v>100000</v>
      </c>
      <c r="I81" s="810" t="str">
        <f>'ADU-64'!$B$7</f>
        <v>Néant</v>
      </c>
      <c r="J81" s="811">
        <f>'ADU-64'!$B$18</f>
        <v>50000</v>
      </c>
      <c r="K81" s="811">
        <f>'ADU-64'!$B$21</f>
        <v>2112</v>
      </c>
      <c r="L81" s="811">
        <f>'ADU-64'!$B$22</f>
        <v>0</v>
      </c>
      <c r="M81" s="812">
        <f>'ADU-64'!$B$24</f>
        <v>23.674242424242426</v>
      </c>
      <c r="N81" s="813">
        <f>'ADU-64'!$B$25</f>
        <v>3.5402399999999998</v>
      </c>
      <c r="O81" s="814">
        <f t="shared" si="443"/>
        <v>7.0804800000000001E-2</v>
      </c>
      <c r="P81" s="815" t="str">
        <f>'ADU-64'!$B$5</f>
        <v>A faire</v>
      </c>
      <c r="Q81" s="816">
        <f>'ADU-64'!$B$16</f>
        <v>2021</v>
      </c>
      <c r="R81" s="817" t="str">
        <f t="shared" si="444"/>
        <v/>
      </c>
      <c r="S81" s="818">
        <f t="shared" si="445"/>
        <v>0</v>
      </c>
      <c r="T81" s="818">
        <f t="shared" si="446"/>
        <v>0</v>
      </c>
      <c r="U81" s="818">
        <f t="shared" si="447"/>
        <v>0</v>
      </c>
      <c r="V81" s="818">
        <f t="shared" si="448"/>
        <v>0</v>
      </c>
      <c r="W81" s="818">
        <f t="shared" si="449"/>
        <v>0</v>
      </c>
      <c r="X81" s="818">
        <f t="shared" si="450"/>
        <v>0</v>
      </c>
      <c r="Y81" s="818">
        <f t="shared" si="451"/>
        <v>0</v>
      </c>
      <c r="AA81" s="818">
        <f t="shared" si="452"/>
        <v>0</v>
      </c>
      <c r="AB81" s="818">
        <f t="shared" si="453"/>
        <v>0</v>
      </c>
      <c r="AC81" s="818">
        <f t="shared" si="454"/>
        <v>0</v>
      </c>
      <c r="AD81" s="818">
        <f t="shared" si="455"/>
        <v>0</v>
      </c>
      <c r="AE81" s="818">
        <f t="shared" si="456"/>
        <v>0</v>
      </c>
      <c r="AF81" s="818">
        <f t="shared" si="457"/>
        <v>0</v>
      </c>
      <c r="AG81" s="818">
        <f t="shared" si="458"/>
        <v>0</v>
      </c>
      <c r="AI81" s="818">
        <f t="shared" si="459"/>
        <v>0</v>
      </c>
      <c r="AJ81" s="818">
        <f t="shared" si="460"/>
        <v>0</v>
      </c>
      <c r="AK81" s="818">
        <f t="shared" si="461"/>
        <v>0</v>
      </c>
      <c r="AL81" s="818">
        <f t="shared" si="462"/>
        <v>0</v>
      </c>
      <c r="AM81" s="818">
        <f t="shared" si="463"/>
        <v>0</v>
      </c>
      <c r="AN81" s="818">
        <f t="shared" si="464"/>
        <v>0</v>
      </c>
      <c r="AO81" s="818">
        <f t="shared" si="465"/>
        <v>0</v>
      </c>
      <c r="AQ81" s="818">
        <f t="shared" si="466"/>
        <v>0</v>
      </c>
      <c r="AR81" s="818">
        <f t="shared" si="467"/>
        <v>0</v>
      </c>
      <c r="AS81" s="818">
        <f t="shared" si="468"/>
        <v>0</v>
      </c>
      <c r="AT81" s="818">
        <f t="shared" si="469"/>
        <v>0</v>
      </c>
      <c r="AU81" s="818">
        <f t="shared" si="470"/>
        <v>0</v>
      </c>
      <c r="AV81" s="818">
        <f t="shared" si="471"/>
        <v>0</v>
      </c>
      <c r="AW81" s="818">
        <f t="shared" si="472"/>
        <v>0</v>
      </c>
      <c r="AY81" s="818">
        <f t="shared" si="473"/>
        <v>0</v>
      </c>
      <c r="AZ81" s="818">
        <f t="shared" si="474"/>
        <v>0</v>
      </c>
      <c r="BA81" s="818">
        <f t="shared" si="475"/>
        <v>0</v>
      </c>
      <c r="BB81" s="818">
        <f t="shared" si="476"/>
        <v>0</v>
      </c>
      <c r="BC81" s="818">
        <f t="shared" si="477"/>
        <v>0</v>
      </c>
      <c r="BD81" s="818">
        <f t="shared" si="478"/>
        <v>0</v>
      </c>
      <c r="BE81" s="818">
        <f t="shared" si="479"/>
        <v>0</v>
      </c>
      <c r="BG81" s="818">
        <f t="shared" si="480"/>
        <v>0</v>
      </c>
      <c r="BH81" s="818">
        <f t="shared" si="481"/>
        <v>0</v>
      </c>
      <c r="BI81" s="818">
        <f t="shared" si="482"/>
        <v>0</v>
      </c>
      <c r="BJ81" s="818">
        <f t="shared" si="483"/>
        <v>0</v>
      </c>
      <c r="BK81" s="820">
        <f t="shared" si="484"/>
        <v>0</v>
      </c>
      <c r="BL81" s="818">
        <f t="shared" si="485"/>
        <v>0</v>
      </c>
      <c r="BN81" s="818">
        <f t="shared" si="486"/>
        <v>0</v>
      </c>
      <c r="BO81" s="818">
        <f t="shared" si="487"/>
        <v>0</v>
      </c>
      <c r="BP81" s="818">
        <f t="shared" si="488"/>
        <v>0</v>
      </c>
      <c r="BQ81" s="818">
        <f t="shared" si="489"/>
        <v>0</v>
      </c>
      <c r="BR81" s="820">
        <f t="shared" si="490"/>
        <v>0</v>
      </c>
      <c r="BS81" s="818">
        <f t="shared" si="491"/>
        <v>0</v>
      </c>
    </row>
    <row r="82" spans="1:85" s="819" customFormat="1" ht="18" customHeight="1" x14ac:dyDescent="0.25">
      <c r="A82" s="808" t="s">
        <v>1041</v>
      </c>
      <c r="B82" s="808" t="str">
        <f>'ADU-65'!B$3:E$3</f>
        <v>Mobilité</v>
      </c>
      <c r="C82" s="809" t="str">
        <f>'ADU-65'!$B$8</f>
        <v>Travailleurs frontaliers</v>
      </c>
      <c r="D82" s="810" t="str">
        <f>'ADU-65'!$B$9</f>
        <v>Service de bus transfrontalier</v>
      </c>
      <c r="E82" s="810" t="str">
        <f>'ADU-65'!$B$4</f>
        <v>Transport</v>
      </c>
      <c r="F82" s="810" t="str">
        <f>'ADU-65'!$B$12</f>
        <v>Citoyen</v>
      </c>
      <c r="G82" s="810" t="str">
        <f>'ADU-65'!$B$6</f>
        <v>Fonds propres</v>
      </c>
      <c r="H82" s="811">
        <f>'ADU-65'!$B$17</f>
        <v>0</v>
      </c>
      <c r="I82" s="810" t="str">
        <f>'ADU-65'!$B$7</f>
        <v>Néant</v>
      </c>
      <c r="J82" s="811">
        <f>'ADU-65'!$B$18</f>
        <v>0</v>
      </c>
      <c r="K82" s="811">
        <f>'ADU-65'!$B$21</f>
        <v>12384</v>
      </c>
      <c r="L82" s="811">
        <f>'ADU-65'!$B$22</f>
        <v>0</v>
      </c>
      <c r="M82" s="812">
        <f>'ADU-65'!$B$24</f>
        <v>0</v>
      </c>
      <c r="N82" s="813">
        <f>'ADU-65'!$B$25</f>
        <v>20.758680000000002</v>
      </c>
      <c r="O82" s="814">
        <f t="shared" si="443"/>
        <v>0</v>
      </c>
      <c r="P82" s="815" t="str">
        <f>'ADU-65'!$B$5</f>
        <v>A faire</v>
      </c>
      <c r="Q82" s="816">
        <f>'ADU-65'!$B$16</f>
        <v>2030</v>
      </c>
      <c r="R82" s="817" t="str">
        <f t="shared" si="444"/>
        <v/>
      </c>
      <c r="S82" s="818">
        <f t="shared" si="445"/>
        <v>0</v>
      </c>
      <c r="T82" s="818">
        <f t="shared" si="446"/>
        <v>0</v>
      </c>
      <c r="U82" s="818">
        <f t="shared" si="447"/>
        <v>0</v>
      </c>
      <c r="V82" s="818">
        <f t="shared" si="448"/>
        <v>0</v>
      </c>
      <c r="W82" s="818">
        <f t="shared" si="449"/>
        <v>0</v>
      </c>
      <c r="X82" s="818">
        <f t="shared" si="450"/>
        <v>0</v>
      </c>
      <c r="Y82" s="818">
        <f t="shared" si="451"/>
        <v>0</v>
      </c>
      <c r="AA82" s="818">
        <f t="shared" si="452"/>
        <v>0</v>
      </c>
      <c r="AB82" s="818">
        <f t="shared" si="453"/>
        <v>0</v>
      </c>
      <c r="AC82" s="818">
        <f t="shared" si="454"/>
        <v>0</v>
      </c>
      <c r="AD82" s="818">
        <f t="shared" si="455"/>
        <v>0</v>
      </c>
      <c r="AE82" s="818">
        <f t="shared" si="456"/>
        <v>0</v>
      </c>
      <c r="AF82" s="818">
        <f t="shared" si="457"/>
        <v>0</v>
      </c>
      <c r="AG82" s="818">
        <f t="shared" si="458"/>
        <v>0</v>
      </c>
      <c r="AI82" s="818">
        <f t="shared" si="459"/>
        <v>0</v>
      </c>
      <c r="AJ82" s="818">
        <f t="shared" si="460"/>
        <v>0</v>
      </c>
      <c r="AK82" s="818">
        <f t="shared" si="461"/>
        <v>0</v>
      </c>
      <c r="AL82" s="818">
        <f t="shared" si="462"/>
        <v>0</v>
      </c>
      <c r="AM82" s="818">
        <f t="shared" si="463"/>
        <v>0</v>
      </c>
      <c r="AN82" s="818">
        <f t="shared" si="464"/>
        <v>0</v>
      </c>
      <c r="AO82" s="818">
        <f t="shared" si="465"/>
        <v>0</v>
      </c>
      <c r="AQ82" s="818">
        <f t="shared" si="466"/>
        <v>0</v>
      </c>
      <c r="AR82" s="818">
        <f t="shared" si="467"/>
        <v>0</v>
      </c>
      <c r="AS82" s="818">
        <f t="shared" si="468"/>
        <v>0</v>
      </c>
      <c r="AT82" s="818">
        <f t="shared" si="469"/>
        <v>0</v>
      </c>
      <c r="AU82" s="818">
        <f t="shared" si="470"/>
        <v>0</v>
      </c>
      <c r="AV82" s="818">
        <f t="shared" si="471"/>
        <v>0</v>
      </c>
      <c r="AW82" s="818">
        <f t="shared" si="472"/>
        <v>0</v>
      </c>
      <c r="AY82" s="818">
        <f t="shared" si="473"/>
        <v>0</v>
      </c>
      <c r="AZ82" s="818">
        <f t="shared" si="474"/>
        <v>0</v>
      </c>
      <c r="BA82" s="818">
        <f t="shared" si="475"/>
        <v>0</v>
      </c>
      <c r="BB82" s="818">
        <f t="shared" si="476"/>
        <v>0</v>
      </c>
      <c r="BC82" s="818">
        <f t="shared" si="477"/>
        <v>0</v>
      </c>
      <c r="BD82" s="818">
        <f t="shared" si="478"/>
        <v>0</v>
      </c>
      <c r="BE82" s="818">
        <f t="shared" si="479"/>
        <v>0</v>
      </c>
      <c r="BG82" s="818">
        <f t="shared" si="480"/>
        <v>0</v>
      </c>
      <c r="BH82" s="818">
        <f t="shared" si="481"/>
        <v>0</v>
      </c>
      <c r="BI82" s="818">
        <f t="shared" si="482"/>
        <v>0</v>
      </c>
      <c r="BJ82" s="818">
        <f t="shared" si="483"/>
        <v>0</v>
      </c>
      <c r="BK82" s="820">
        <f t="shared" si="484"/>
        <v>0</v>
      </c>
      <c r="BL82" s="818">
        <f t="shared" si="485"/>
        <v>0</v>
      </c>
      <c r="BN82" s="818">
        <f t="shared" si="486"/>
        <v>0</v>
      </c>
      <c r="BO82" s="818">
        <f t="shared" si="487"/>
        <v>0</v>
      </c>
      <c r="BP82" s="818">
        <f t="shared" si="488"/>
        <v>0</v>
      </c>
      <c r="BQ82" s="818">
        <f t="shared" si="489"/>
        <v>0</v>
      </c>
      <c r="BR82" s="820">
        <f t="shared" si="490"/>
        <v>0</v>
      </c>
      <c r="BS82" s="818">
        <f t="shared" si="491"/>
        <v>0</v>
      </c>
    </row>
    <row r="83" spans="1:85" s="897" customFormat="1" ht="18" customHeight="1" x14ac:dyDescent="0.25">
      <c r="A83" s="886" t="s">
        <v>805</v>
      </c>
      <c r="B83" s="886" t="str">
        <f>'ADU-70'!B$3:E$3</f>
        <v>ER Electricité</v>
      </c>
      <c r="C83" s="887" t="str">
        <f>'ADU-70'!$B$8</f>
        <v>Logement</v>
      </c>
      <c r="D83" s="888" t="str">
        <f>'ADU-70'!$B$9</f>
        <v xml:space="preserve"> PhV &lt; 10 kWc - existant</v>
      </c>
      <c r="E83" s="888" t="str">
        <f>'ADU-70'!$B$4</f>
        <v>Logement</v>
      </c>
      <c r="F83" s="888" t="str">
        <f>'ADU-70'!$B$12</f>
        <v>Citoyen</v>
      </c>
      <c r="G83" s="888" t="str">
        <f>'ADU-70'!$B$6</f>
        <v>Fonds propres</v>
      </c>
      <c r="H83" s="889">
        <f>'ADU-70'!$B$17</f>
        <v>6098400.0000000009</v>
      </c>
      <c r="I83" s="888" t="str">
        <f>'ADU-70'!$B$7</f>
        <v>CV</v>
      </c>
      <c r="J83" s="889">
        <f>'ADU-70'!$B$18</f>
        <v>0</v>
      </c>
      <c r="K83" s="889">
        <f>'ADU-70'!$B$21</f>
        <v>598752</v>
      </c>
      <c r="L83" s="958">
        <f>'ADU-70'!$B$22</f>
        <v>648648</v>
      </c>
      <c r="M83" s="890">
        <f>'ADU-70'!$B$24</f>
        <v>4.8888888888888893</v>
      </c>
      <c r="N83" s="891">
        <f>'ADU-70'!$B$25</f>
        <v>1256.4720000000002</v>
      </c>
      <c r="O83" s="892">
        <f t="shared" si="247"/>
        <v>0.20603305785123965</v>
      </c>
      <c r="P83" s="893" t="str">
        <f>'ADU-70'!$B$5</f>
        <v>Terminé</v>
      </c>
      <c r="Q83" s="894">
        <f>'ADU-70'!$B$16</f>
        <v>2017</v>
      </c>
      <c r="R83" s="895">
        <f>IF(P83="terminé", N83,"")</f>
        <v>1256.4720000000002</v>
      </c>
      <c r="S83" s="896">
        <f t="shared" si="49"/>
        <v>0</v>
      </c>
      <c r="T83" s="896">
        <f t="shared" si="50"/>
        <v>0</v>
      </c>
      <c r="U83" s="896">
        <f t="shared" si="51"/>
        <v>0</v>
      </c>
      <c r="V83" s="896">
        <f t="shared" si="52"/>
        <v>1256.4720000000002</v>
      </c>
      <c r="W83" s="896">
        <f t="shared" si="53"/>
        <v>0</v>
      </c>
      <c r="X83" s="896">
        <f t="shared" si="54"/>
        <v>0</v>
      </c>
      <c r="Y83" s="896">
        <f t="shared" si="55"/>
        <v>0</v>
      </c>
      <c r="AA83" s="896">
        <f t="shared" si="56"/>
        <v>0</v>
      </c>
      <c r="AB83" s="896">
        <f t="shared" si="57"/>
        <v>0</v>
      </c>
      <c r="AC83" s="896">
        <f t="shared" si="58"/>
        <v>0</v>
      </c>
      <c r="AD83" s="896">
        <f t="shared" si="59"/>
        <v>6098400.0000000009</v>
      </c>
      <c r="AE83" s="896">
        <f t="shared" si="60"/>
        <v>0</v>
      </c>
      <c r="AF83" s="896">
        <f t="shared" si="61"/>
        <v>0</v>
      </c>
      <c r="AG83" s="896">
        <f t="shared" si="62"/>
        <v>0</v>
      </c>
      <c r="AI83" s="896">
        <f t="shared" si="63"/>
        <v>0</v>
      </c>
      <c r="AJ83" s="896">
        <f t="shared" si="64"/>
        <v>0</v>
      </c>
      <c r="AK83" s="896">
        <f t="shared" si="65"/>
        <v>0</v>
      </c>
      <c r="AL83" s="896">
        <f t="shared" si="66"/>
        <v>0</v>
      </c>
      <c r="AM83" s="896">
        <f t="shared" si="67"/>
        <v>0</v>
      </c>
      <c r="AN83" s="896">
        <f t="shared" si="68"/>
        <v>0</v>
      </c>
      <c r="AO83" s="896">
        <f t="shared" si="69"/>
        <v>0</v>
      </c>
      <c r="AQ83" s="896">
        <f t="shared" si="70"/>
        <v>0</v>
      </c>
      <c r="AR83" s="896">
        <f t="shared" si="71"/>
        <v>0</v>
      </c>
      <c r="AS83" s="896">
        <f t="shared" si="72"/>
        <v>0</v>
      </c>
      <c r="AT83" s="896">
        <f t="shared" si="73"/>
        <v>598752</v>
      </c>
      <c r="AU83" s="896">
        <f t="shared" si="74"/>
        <v>0</v>
      </c>
      <c r="AV83" s="896">
        <f t="shared" si="75"/>
        <v>0</v>
      </c>
      <c r="AW83" s="896">
        <f t="shared" si="76"/>
        <v>0</v>
      </c>
      <c r="AY83" s="896">
        <f t="shared" si="77"/>
        <v>0</v>
      </c>
      <c r="AZ83" s="896">
        <f t="shared" si="78"/>
        <v>0</v>
      </c>
      <c r="BA83" s="896">
        <f t="shared" si="79"/>
        <v>0</v>
      </c>
      <c r="BB83" s="896">
        <f t="shared" si="80"/>
        <v>648648</v>
      </c>
      <c r="BC83" s="896">
        <f t="shared" si="81"/>
        <v>0</v>
      </c>
      <c r="BD83" s="896">
        <f t="shared" si="82"/>
        <v>0</v>
      </c>
      <c r="BE83" s="896">
        <f t="shared" si="83"/>
        <v>0</v>
      </c>
      <c r="BG83" s="896">
        <f t="shared" si="84"/>
        <v>0</v>
      </c>
      <c r="BH83" s="896">
        <f t="shared" si="85"/>
        <v>0</v>
      </c>
      <c r="BI83" s="896">
        <f t="shared" si="86"/>
        <v>6098400.0000000009</v>
      </c>
      <c r="BJ83" s="896">
        <f t="shared" si="87"/>
        <v>0</v>
      </c>
      <c r="BK83" s="898">
        <f t="shared" si="393"/>
        <v>0</v>
      </c>
      <c r="BL83" s="896">
        <f t="shared" si="88"/>
        <v>0</v>
      </c>
      <c r="BN83" s="896">
        <f t="shared" si="89"/>
        <v>0</v>
      </c>
      <c r="BO83" s="896">
        <f t="shared" si="90"/>
        <v>0</v>
      </c>
      <c r="BP83" s="896">
        <f t="shared" si="91"/>
        <v>0</v>
      </c>
      <c r="BQ83" s="896">
        <f t="shared" si="92"/>
        <v>0</v>
      </c>
      <c r="BR83" s="898">
        <f t="shared" si="394"/>
        <v>0</v>
      </c>
      <c r="BS83" s="896">
        <f t="shared" si="93"/>
        <v>0</v>
      </c>
    </row>
    <row r="84" spans="1:85" s="897" customFormat="1" ht="18" customHeight="1" x14ac:dyDescent="0.25">
      <c r="A84" s="886" t="s">
        <v>804</v>
      </c>
      <c r="B84" s="886" t="str">
        <f>'ADU-71'!B$3:E$3</f>
        <v>ER Electricité</v>
      </c>
      <c r="C84" s="887" t="str">
        <f>'ADU-71'!$B$8</f>
        <v>Bâtiments tertiaires</v>
      </c>
      <c r="D84" s="888" t="str">
        <f>'ADU-71'!$B$9</f>
        <v>PhV &gt; 10 kWc - existant</v>
      </c>
      <c r="E84" s="888" t="str">
        <f>'ADU-71'!$B$4</f>
        <v>Tertiaire</v>
      </c>
      <c r="F84" s="888" t="str">
        <f>'ADU-71'!$B$12</f>
        <v>Tertiaire</v>
      </c>
      <c r="G84" s="888" t="str">
        <f>'ADU-71'!$B$6</f>
        <v>Fonds propres</v>
      </c>
      <c r="H84" s="889">
        <f>'ADU-71'!$B$17</f>
        <v>1659405</v>
      </c>
      <c r="I84" s="888" t="str">
        <f>'ADU-71'!$B$7</f>
        <v>CV</v>
      </c>
      <c r="J84" s="889">
        <f>'ADU-71'!$B$18</f>
        <v>0</v>
      </c>
      <c r="K84" s="889">
        <f>'ADU-71'!$B$21</f>
        <v>268488</v>
      </c>
      <c r="L84" s="958">
        <f>'ADU-71'!$B$22</f>
        <v>290862</v>
      </c>
      <c r="M84" s="890">
        <f>'ADU-71'!$B$24</f>
        <v>2.9666666666666668</v>
      </c>
      <c r="N84" s="891">
        <f>'ADU-71'!$B$25</f>
        <v>563.41800000000001</v>
      </c>
      <c r="O84" s="892">
        <f t="shared" si="247"/>
        <v>0.33953013278855976</v>
      </c>
      <c r="P84" s="893" t="str">
        <f>'ADU-71'!$B$5</f>
        <v>Terminé</v>
      </c>
      <c r="Q84" s="894">
        <f>'ADU-71'!$B$16</f>
        <v>2018</v>
      </c>
      <c r="R84" s="895">
        <f t="shared" ref="R84:R103" si="492">IF(P84="terminé", N84,"")</f>
        <v>563.41800000000001</v>
      </c>
      <c r="S84" s="896">
        <f t="shared" si="49"/>
        <v>0</v>
      </c>
      <c r="T84" s="896">
        <f t="shared" si="50"/>
        <v>0</v>
      </c>
      <c r="U84" s="896">
        <f t="shared" si="51"/>
        <v>0</v>
      </c>
      <c r="V84" s="896">
        <f t="shared" si="52"/>
        <v>0</v>
      </c>
      <c r="W84" s="896">
        <f t="shared" si="53"/>
        <v>563.41800000000001</v>
      </c>
      <c r="X84" s="896">
        <f t="shared" si="54"/>
        <v>0</v>
      </c>
      <c r="Y84" s="896">
        <f t="shared" si="55"/>
        <v>0</v>
      </c>
      <c r="AA84" s="896">
        <f t="shared" si="56"/>
        <v>0</v>
      </c>
      <c r="AB84" s="896">
        <f t="shared" si="57"/>
        <v>0</v>
      </c>
      <c r="AC84" s="896">
        <f t="shared" si="58"/>
        <v>0</v>
      </c>
      <c r="AD84" s="896">
        <f t="shared" si="59"/>
        <v>0</v>
      </c>
      <c r="AE84" s="896">
        <f t="shared" si="60"/>
        <v>1659405</v>
      </c>
      <c r="AF84" s="896">
        <f t="shared" si="61"/>
        <v>0</v>
      </c>
      <c r="AG84" s="896">
        <f t="shared" si="62"/>
        <v>0</v>
      </c>
      <c r="AI84" s="896">
        <f t="shared" si="63"/>
        <v>0</v>
      </c>
      <c r="AJ84" s="896">
        <f t="shared" si="64"/>
        <v>0</v>
      </c>
      <c r="AK84" s="896">
        <f t="shared" si="65"/>
        <v>0</v>
      </c>
      <c r="AL84" s="896">
        <f t="shared" si="66"/>
        <v>0</v>
      </c>
      <c r="AM84" s="896">
        <f t="shared" si="67"/>
        <v>0</v>
      </c>
      <c r="AN84" s="896">
        <f t="shared" si="68"/>
        <v>0</v>
      </c>
      <c r="AO84" s="896">
        <f t="shared" si="69"/>
        <v>0</v>
      </c>
      <c r="AQ84" s="896">
        <f t="shared" si="70"/>
        <v>0</v>
      </c>
      <c r="AR84" s="896">
        <f t="shared" si="71"/>
        <v>0</v>
      </c>
      <c r="AS84" s="896">
        <f t="shared" si="72"/>
        <v>0</v>
      </c>
      <c r="AT84" s="896">
        <f t="shared" si="73"/>
        <v>0</v>
      </c>
      <c r="AU84" s="896">
        <f t="shared" si="74"/>
        <v>268488</v>
      </c>
      <c r="AV84" s="896">
        <f t="shared" si="75"/>
        <v>0</v>
      </c>
      <c r="AW84" s="896">
        <f t="shared" si="76"/>
        <v>0</v>
      </c>
      <c r="AY84" s="896">
        <f t="shared" si="77"/>
        <v>0</v>
      </c>
      <c r="AZ84" s="896">
        <f t="shared" si="78"/>
        <v>0</v>
      </c>
      <c r="BA84" s="896">
        <f t="shared" si="79"/>
        <v>0</v>
      </c>
      <c r="BB84" s="896">
        <f t="shared" si="80"/>
        <v>0</v>
      </c>
      <c r="BC84" s="896">
        <f t="shared" si="81"/>
        <v>290862</v>
      </c>
      <c r="BD84" s="896">
        <f t="shared" si="82"/>
        <v>0</v>
      </c>
      <c r="BE84" s="896">
        <f t="shared" si="83"/>
        <v>0</v>
      </c>
      <c r="BG84" s="896">
        <f t="shared" si="84"/>
        <v>0</v>
      </c>
      <c r="BH84" s="896">
        <f t="shared" si="85"/>
        <v>0</v>
      </c>
      <c r="BI84" s="896">
        <f t="shared" si="86"/>
        <v>0</v>
      </c>
      <c r="BJ84" s="896">
        <f t="shared" si="87"/>
        <v>0</v>
      </c>
      <c r="BK84" s="898">
        <f t="shared" si="393"/>
        <v>0</v>
      </c>
      <c r="BL84" s="896">
        <f t="shared" si="88"/>
        <v>1659405</v>
      </c>
      <c r="BN84" s="896">
        <f t="shared" si="89"/>
        <v>0</v>
      </c>
      <c r="BO84" s="896">
        <f t="shared" si="90"/>
        <v>0</v>
      </c>
      <c r="BP84" s="896">
        <f t="shared" si="91"/>
        <v>0</v>
      </c>
      <c r="BQ84" s="896">
        <f t="shared" si="92"/>
        <v>0</v>
      </c>
      <c r="BR84" s="898">
        <f t="shared" si="394"/>
        <v>0</v>
      </c>
      <c r="BS84" s="896">
        <f t="shared" si="93"/>
        <v>0</v>
      </c>
    </row>
    <row r="85" spans="1:85" s="897" customFormat="1" ht="18" customHeight="1" x14ac:dyDescent="0.25">
      <c r="A85" s="886" t="s">
        <v>803</v>
      </c>
      <c r="B85" s="886" t="str">
        <f>'ADU-72'!B$3:E$3</f>
        <v>ER Electricité</v>
      </c>
      <c r="C85" s="887" t="str">
        <f>'ADU-72'!$B$8</f>
        <v>Logement</v>
      </c>
      <c r="D85" s="888" t="str">
        <f>'ADU-72'!$B$9</f>
        <v>PhV &lt; 10 kWc</v>
      </c>
      <c r="E85" s="888" t="str">
        <f>'ADU-72'!$B$4</f>
        <v>Logement</v>
      </c>
      <c r="F85" s="888" t="str">
        <f>'ADU-72'!$B$12</f>
        <v>Citoyen</v>
      </c>
      <c r="G85" s="888" t="str">
        <f>'ADU-72'!$B$6</f>
        <v>Prêt bancaire</v>
      </c>
      <c r="H85" s="889">
        <f>'ADU-72'!$B$17</f>
        <v>3093720.0000000005</v>
      </c>
      <c r="I85" s="888" t="str">
        <f>'ADU-72'!$B$7</f>
        <v>Primes RW</v>
      </c>
      <c r="J85" s="889">
        <f>'ADU-72'!$B$18</f>
        <v>-1658279.9999999995</v>
      </c>
      <c r="K85" s="889">
        <f>'ADU-72'!$B$21</f>
        <v>594000</v>
      </c>
      <c r="L85" s="889">
        <f>'ADU-72'!$B$22</f>
        <v>0</v>
      </c>
      <c r="M85" s="890">
        <f>'ADU-72'!$B$24</f>
        <v>8</v>
      </c>
      <c r="N85" s="891">
        <f>'ADU-72'!$B$25</f>
        <v>1196.6400000000001</v>
      </c>
      <c r="O85" s="892">
        <f t="shared" ref="O85:O103" si="493">IF(H85=0,0,N85/(H85-J85)*1000)</f>
        <v>0.25181818181818183</v>
      </c>
      <c r="P85" s="893" t="str">
        <f>'ADU-72'!$B$5</f>
        <v>A faire</v>
      </c>
      <c r="Q85" s="894">
        <f>'ADU-72'!$B$16</f>
        <v>2030</v>
      </c>
      <c r="R85" s="895" t="str">
        <f t="shared" si="492"/>
        <v/>
      </c>
      <c r="S85" s="896">
        <f t="shared" si="49"/>
        <v>0</v>
      </c>
      <c r="T85" s="896">
        <f t="shared" si="50"/>
        <v>0</v>
      </c>
      <c r="U85" s="896">
        <f t="shared" si="51"/>
        <v>0</v>
      </c>
      <c r="V85" s="896">
        <f t="shared" si="52"/>
        <v>0</v>
      </c>
      <c r="W85" s="896">
        <f t="shared" si="53"/>
        <v>0</v>
      </c>
      <c r="X85" s="896">
        <f t="shared" si="54"/>
        <v>0</v>
      </c>
      <c r="Y85" s="896">
        <f t="shared" si="55"/>
        <v>0</v>
      </c>
      <c r="AA85" s="896">
        <f t="shared" si="56"/>
        <v>0</v>
      </c>
      <c r="AB85" s="896">
        <f t="shared" si="57"/>
        <v>0</v>
      </c>
      <c r="AC85" s="896">
        <f t="shared" si="58"/>
        <v>0</v>
      </c>
      <c r="AD85" s="896">
        <f t="shared" si="59"/>
        <v>0</v>
      </c>
      <c r="AE85" s="896">
        <f t="shared" si="60"/>
        <v>0</v>
      </c>
      <c r="AF85" s="896">
        <f t="shared" si="61"/>
        <v>0</v>
      </c>
      <c r="AG85" s="896">
        <f t="shared" si="62"/>
        <v>0</v>
      </c>
      <c r="AI85" s="896">
        <f t="shared" si="63"/>
        <v>0</v>
      </c>
      <c r="AJ85" s="896">
        <f t="shared" si="64"/>
        <v>0</v>
      </c>
      <c r="AK85" s="896">
        <f t="shared" si="65"/>
        <v>0</v>
      </c>
      <c r="AL85" s="896">
        <f t="shared" si="66"/>
        <v>0</v>
      </c>
      <c r="AM85" s="896">
        <f t="shared" si="67"/>
        <v>0</v>
      </c>
      <c r="AN85" s="896">
        <f t="shared" si="68"/>
        <v>0</v>
      </c>
      <c r="AO85" s="896">
        <f t="shared" si="69"/>
        <v>0</v>
      </c>
      <c r="AQ85" s="896">
        <f t="shared" si="70"/>
        <v>0</v>
      </c>
      <c r="AR85" s="896">
        <f t="shared" si="71"/>
        <v>0</v>
      </c>
      <c r="AS85" s="896">
        <f t="shared" si="72"/>
        <v>0</v>
      </c>
      <c r="AT85" s="896">
        <f t="shared" si="73"/>
        <v>0</v>
      </c>
      <c r="AU85" s="896">
        <f t="shared" si="74"/>
        <v>0</v>
      </c>
      <c r="AV85" s="896">
        <f t="shared" si="75"/>
        <v>0</v>
      </c>
      <c r="AW85" s="896">
        <f t="shared" si="76"/>
        <v>0</v>
      </c>
      <c r="AY85" s="896">
        <f t="shared" si="77"/>
        <v>0</v>
      </c>
      <c r="AZ85" s="896">
        <f t="shared" si="78"/>
        <v>0</v>
      </c>
      <c r="BA85" s="896">
        <f t="shared" si="79"/>
        <v>0</v>
      </c>
      <c r="BB85" s="896">
        <f t="shared" si="80"/>
        <v>0</v>
      </c>
      <c r="BC85" s="896">
        <f t="shared" si="81"/>
        <v>0</v>
      </c>
      <c r="BD85" s="896">
        <f t="shared" si="82"/>
        <v>0</v>
      </c>
      <c r="BE85" s="896">
        <f t="shared" si="83"/>
        <v>0</v>
      </c>
      <c r="BG85" s="896">
        <f t="shared" si="84"/>
        <v>0</v>
      </c>
      <c r="BH85" s="896">
        <f t="shared" si="85"/>
        <v>0</v>
      </c>
      <c r="BI85" s="896">
        <f t="shared" si="86"/>
        <v>0</v>
      </c>
      <c r="BJ85" s="896">
        <f t="shared" si="87"/>
        <v>0</v>
      </c>
      <c r="BK85" s="898">
        <f t="shared" si="393"/>
        <v>0</v>
      </c>
      <c r="BL85" s="896">
        <f t="shared" si="88"/>
        <v>0</v>
      </c>
      <c r="BN85" s="896">
        <f t="shared" si="89"/>
        <v>0</v>
      </c>
      <c r="BO85" s="896">
        <f t="shared" si="90"/>
        <v>0</v>
      </c>
      <c r="BP85" s="896">
        <f t="shared" si="91"/>
        <v>0</v>
      </c>
      <c r="BQ85" s="896">
        <f t="shared" si="92"/>
        <v>0</v>
      </c>
      <c r="BR85" s="898">
        <f t="shared" si="394"/>
        <v>0</v>
      </c>
      <c r="BS85" s="896">
        <f t="shared" si="93"/>
        <v>0</v>
      </c>
    </row>
    <row r="86" spans="1:85" s="897" customFormat="1" ht="18" customHeight="1" x14ac:dyDescent="0.25">
      <c r="A86" s="886" t="s">
        <v>802</v>
      </c>
      <c r="B86" s="886" t="str">
        <f>'ADU-73'!B$3:E$3</f>
        <v>ER Electricité</v>
      </c>
      <c r="C86" s="887" t="str">
        <f>'ADU-73'!$B$8</f>
        <v>Bâtiments communaux</v>
      </c>
      <c r="D86" s="888" t="str">
        <f>'ADU-73'!$B$9</f>
        <v>PhV &lt; 10 kWc</v>
      </c>
      <c r="E86" s="888" t="str">
        <f>'ADU-73'!$B$4</f>
        <v>Communal</v>
      </c>
      <c r="F86" s="888" t="str">
        <f>'ADU-73'!$B$12</f>
        <v>AC MESSANCY</v>
      </c>
      <c r="G86" s="888" t="str">
        <f>'ADU-73'!$B$6</f>
        <v>Prêt bancaire</v>
      </c>
      <c r="H86" s="889">
        <f>'ADU-73'!$B$17</f>
        <v>46405.8</v>
      </c>
      <c r="I86" s="888" t="str">
        <f>'ADU-73'!$B$7</f>
        <v>Primes RW</v>
      </c>
      <c r="J86" s="889">
        <f>'ADU-73'!$B$18</f>
        <v>-39994.199999999997</v>
      </c>
      <c r="K86" s="889">
        <f>'ADU-73'!$B$21</f>
        <v>10800</v>
      </c>
      <c r="L86" s="889">
        <f>'ADU-73'!$B$22</f>
        <v>0</v>
      </c>
      <c r="M86" s="890">
        <f>'ADU-73'!$B$24</f>
        <v>8</v>
      </c>
      <c r="N86" s="891">
        <f>'ADU-73'!$B$25</f>
        <v>21.757090909090913</v>
      </c>
      <c r="O86" s="892">
        <f t="shared" si="493"/>
        <v>0.25181818181818189</v>
      </c>
      <c r="P86" s="893" t="str">
        <f>'ADU-73'!$B$5</f>
        <v>A faire</v>
      </c>
      <c r="Q86" s="894">
        <f>'ADU-73'!$B$16</f>
        <v>2030</v>
      </c>
      <c r="R86" s="895" t="str">
        <f t="shared" si="492"/>
        <v/>
      </c>
      <c r="S86" s="896">
        <f t="shared" si="49"/>
        <v>0</v>
      </c>
      <c r="T86" s="896">
        <f t="shared" si="50"/>
        <v>0</v>
      </c>
      <c r="U86" s="896">
        <f t="shared" si="51"/>
        <v>0</v>
      </c>
      <c r="V86" s="896">
        <f t="shared" si="52"/>
        <v>0</v>
      </c>
      <c r="W86" s="896">
        <f t="shared" si="53"/>
        <v>0</v>
      </c>
      <c r="X86" s="896">
        <f t="shared" si="54"/>
        <v>0</v>
      </c>
      <c r="Y86" s="896">
        <f t="shared" si="55"/>
        <v>0</v>
      </c>
      <c r="AA86" s="896">
        <f t="shared" si="56"/>
        <v>0</v>
      </c>
      <c r="AB86" s="896">
        <f t="shared" si="57"/>
        <v>0</v>
      </c>
      <c r="AC86" s="896">
        <f t="shared" si="58"/>
        <v>0</v>
      </c>
      <c r="AD86" s="896">
        <f t="shared" si="59"/>
        <v>0</v>
      </c>
      <c r="AE86" s="896">
        <f t="shared" si="60"/>
        <v>0</v>
      </c>
      <c r="AF86" s="896">
        <f t="shared" si="61"/>
        <v>0</v>
      </c>
      <c r="AG86" s="896">
        <f t="shared" si="62"/>
        <v>0</v>
      </c>
      <c r="AI86" s="896">
        <f t="shared" si="63"/>
        <v>0</v>
      </c>
      <c r="AJ86" s="896">
        <f t="shared" si="64"/>
        <v>0</v>
      </c>
      <c r="AK86" s="896">
        <f t="shared" si="65"/>
        <v>0</v>
      </c>
      <c r="AL86" s="896">
        <f t="shared" si="66"/>
        <v>0</v>
      </c>
      <c r="AM86" s="896">
        <f t="shared" si="67"/>
        <v>0</v>
      </c>
      <c r="AN86" s="896">
        <f t="shared" si="68"/>
        <v>0</v>
      </c>
      <c r="AO86" s="896">
        <f t="shared" si="69"/>
        <v>0</v>
      </c>
      <c r="AQ86" s="896">
        <f t="shared" si="70"/>
        <v>0</v>
      </c>
      <c r="AR86" s="896">
        <f t="shared" si="71"/>
        <v>0</v>
      </c>
      <c r="AS86" s="896">
        <f t="shared" si="72"/>
        <v>0</v>
      </c>
      <c r="AT86" s="896">
        <f t="shared" si="73"/>
        <v>0</v>
      </c>
      <c r="AU86" s="896">
        <f t="shared" si="74"/>
        <v>0</v>
      </c>
      <c r="AV86" s="896">
        <f t="shared" si="75"/>
        <v>0</v>
      </c>
      <c r="AW86" s="896">
        <f t="shared" si="76"/>
        <v>0</v>
      </c>
      <c r="AY86" s="896">
        <f t="shared" si="77"/>
        <v>0</v>
      </c>
      <c r="AZ86" s="896">
        <f t="shared" si="78"/>
        <v>0</v>
      </c>
      <c r="BA86" s="896">
        <f t="shared" si="79"/>
        <v>0</v>
      </c>
      <c r="BB86" s="896">
        <f t="shared" si="80"/>
        <v>0</v>
      </c>
      <c r="BC86" s="896">
        <f t="shared" si="81"/>
        <v>0</v>
      </c>
      <c r="BD86" s="896">
        <f t="shared" si="82"/>
        <v>0</v>
      </c>
      <c r="BE86" s="896">
        <f t="shared" si="83"/>
        <v>0</v>
      </c>
      <c r="BG86" s="896">
        <f t="shared" si="84"/>
        <v>0</v>
      </c>
      <c r="BH86" s="896">
        <f t="shared" si="85"/>
        <v>0</v>
      </c>
      <c r="BI86" s="896">
        <f t="shared" si="86"/>
        <v>0</v>
      </c>
      <c r="BJ86" s="896">
        <f t="shared" si="87"/>
        <v>0</v>
      </c>
      <c r="BK86" s="898">
        <f t="shared" si="393"/>
        <v>0</v>
      </c>
      <c r="BL86" s="896">
        <f t="shared" si="88"/>
        <v>0</v>
      </c>
      <c r="BN86" s="896">
        <f t="shared" si="89"/>
        <v>0</v>
      </c>
      <c r="BO86" s="896">
        <f t="shared" si="90"/>
        <v>0</v>
      </c>
      <c r="BP86" s="896">
        <f t="shared" si="91"/>
        <v>0</v>
      </c>
      <c r="BQ86" s="896">
        <f t="shared" si="92"/>
        <v>0</v>
      </c>
      <c r="BR86" s="898">
        <f t="shared" si="394"/>
        <v>0</v>
      </c>
      <c r="BS86" s="896">
        <f t="shared" si="93"/>
        <v>0</v>
      </c>
    </row>
    <row r="87" spans="1:85" s="897" customFormat="1" ht="18" customHeight="1" x14ac:dyDescent="0.25">
      <c r="A87" s="886" t="s">
        <v>801</v>
      </c>
      <c r="B87" s="886" t="str">
        <f>'ADU-74'!B$3:E$3</f>
        <v>ER Electricité</v>
      </c>
      <c r="C87" s="887" t="str">
        <f>'ADU-74'!$B$8</f>
        <v>Bâtiments industriels</v>
      </c>
      <c r="D87" s="888" t="str">
        <f>'ADU-74'!$B$9</f>
        <v>Phv &gt; 10 kWc</v>
      </c>
      <c r="E87" s="888" t="str">
        <f>'ADU-74'!$B$4</f>
        <v>Industrie</v>
      </c>
      <c r="F87" s="888" t="str">
        <f>'ADU-74'!$B$12</f>
        <v>Industrie</v>
      </c>
      <c r="G87" s="888" t="str">
        <f>'ADU-74'!$B$6</f>
        <v>Fonds propres</v>
      </c>
      <c r="H87" s="889">
        <f>'ADU-74'!$B$17</f>
        <v>484000</v>
      </c>
      <c r="I87" s="888" t="str">
        <f>'ADU-74'!$B$7</f>
        <v>CV</v>
      </c>
      <c r="J87" s="889">
        <f>'ADU-74'!$B$18</f>
        <v>0</v>
      </c>
      <c r="K87" s="889">
        <f>'ADU-74'!$B$21</f>
        <v>27000</v>
      </c>
      <c r="L87" s="958">
        <f>'ADU-74'!$B$22</f>
        <v>28080</v>
      </c>
      <c r="M87" s="890">
        <f>'ADU-74'!$B$24</f>
        <v>8.7872185911401601</v>
      </c>
      <c r="N87" s="891">
        <f>'ADU-74'!$B$25</f>
        <v>90.654545454545456</v>
      </c>
      <c r="O87" s="892">
        <f t="shared" si="493"/>
        <v>0.18730277986476335</v>
      </c>
      <c r="P87" s="893" t="str">
        <f>'ADU-74'!$B$5</f>
        <v>A faire</v>
      </c>
      <c r="Q87" s="894">
        <f>'ADU-74'!$B$16</f>
        <v>2030</v>
      </c>
      <c r="R87" s="895" t="str">
        <f t="shared" si="492"/>
        <v/>
      </c>
      <c r="S87" s="896">
        <f t="shared" ref="S87:S126" si="494">IF((P87="Terminé")*AND(E87="Territoire"),N87,0)</f>
        <v>0</v>
      </c>
      <c r="T87" s="896">
        <f t="shared" ref="T87:T126" si="495">IF((P87="Terminé")*AND(E87="Agriculture"),N87,0)</f>
        <v>0</v>
      </c>
      <c r="U87" s="896">
        <f t="shared" ref="U87:U126" si="496">IF((P87="Terminé")*AND(E87="Industrie"), N87,0)</f>
        <v>0</v>
      </c>
      <c r="V87" s="896">
        <f t="shared" ref="V87:V126" si="497">IF((P87="Terminé")*AND(E87="Logement"),N87,0)</f>
        <v>0</v>
      </c>
      <c r="W87" s="896">
        <f t="shared" ref="W87:W126" si="498">IF((P87="Terminé")*AND(E87="Tertiaire"),N87,0)</f>
        <v>0</v>
      </c>
      <c r="X87" s="896">
        <f t="shared" ref="X87:X126" si="499">IF((P87="Terminé")*AND(E87="Transport"),N87,0)</f>
        <v>0</v>
      </c>
      <c r="Y87" s="896">
        <f t="shared" ref="Y87:Y126" si="500">IF((P87="Terminé")*AND(E87="Communal"),N87,0)</f>
        <v>0</v>
      </c>
      <c r="AA87" s="896">
        <f t="shared" ref="AA87:AA126" si="501">IF((P87="Terminé")*AND(E87="Territoire"),H87,0)</f>
        <v>0</v>
      </c>
      <c r="AB87" s="896">
        <f t="shared" ref="AB87:AB126" si="502">IF((P87="Terminé")*AND(E87="Agriculture"),H87,0)</f>
        <v>0</v>
      </c>
      <c r="AC87" s="896">
        <f t="shared" ref="AC87:AC126" si="503">IF((P87="Terminé")*AND(E87="Industrie"), H87,0)</f>
        <v>0</v>
      </c>
      <c r="AD87" s="896">
        <f t="shared" ref="AD87:AD126" si="504">IF((P87="Terminé")*AND(E87="Logement"), H87,0)</f>
        <v>0</v>
      </c>
      <c r="AE87" s="896">
        <f t="shared" ref="AE87:AE126" si="505">IF((P87="Terminé")*AND(E87="Tertiaire"),H87,0)</f>
        <v>0</v>
      </c>
      <c r="AF87" s="896">
        <f t="shared" ref="AF87:AF126" si="506">IF((P87="Terminé")*AND(E87="Transport"),H87,0)</f>
        <v>0</v>
      </c>
      <c r="AG87" s="896">
        <f t="shared" ref="AG87:AG126" si="507">IF((P87="Terminé")*AND(E87="Communal"),H87,0)</f>
        <v>0</v>
      </c>
      <c r="AI87" s="896">
        <f t="shared" ref="AI87:AI126" si="508">IF((P87="Terminé")*AND(E87="Territoire"),J87,0)</f>
        <v>0</v>
      </c>
      <c r="AJ87" s="896">
        <f t="shared" ref="AJ87:AJ126" si="509">IF((P87="Terminé")*AND(E87="Agriculture"),J87,0)</f>
        <v>0</v>
      </c>
      <c r="AK87" s="896">
        <f t="shared" ref="AK87:AK126" si="510">IF((P87="Terminé")*AND(E87="Industrie"), J87,0)</f>
        <v>0</v>
      </c>
      <c r="AL87" s="896">
        <f t="shared" ref="AL87:AL126" si="511">IF((P87="Terminé")*AND(E87="Logement"), J87,0)</f>
        <v>0</v>
      </c>
      <c r="AM87" s="896">
        <f t="shared" ref="AM87:AM126" si="512">IF((P87="Terminé")*AND(E87="Tertiaire"),J87,0)</f>
        <v>0</v>
      </c>
      <c r="AN87" s="896">
        <f t="shared" ref="AN87:AN126" si="513">IF((P87="Terminé")*AND(E87="Transport"),J87,0)</f>
        <v>0</v>
      </c>
      <c r="AO87" s="896">
        <f t="shared" ref="AO87:AO126" si="514">IF((P87="Terminé")*AND(E87="Communal"),J87,0)</f>
        <v>0</v>
      </c>
      <c r="AQ87" s="896">
        <f t="shared" ref="AQ87:AQ126" si="515">IF((P87="Terminé")*AND(E87="Territoire"),K87,0)</f>
        <v>0</v>
      </c>
      <c r="AR87" s="896">
        <f t="shared" ref="AR87:AR126" si="516">IF((P87="Terminé")*AND(E87="Agriculture"),K87,0)</f>
        <v>0</v>
      </c>
      <c r="AS87" s="896">
        <f t="shared" ref="AS87:AS126" si="517">IF((P87="Terminé")*AND(E87="Industrie"), K87,0)</f>
        <v>0</v>
      </c>
      <c r="AT87" s="896">
        <f t="shared" ref="AT87:AT126" si="518">IF((P87="Terminé")*AND(E87="Logement"), K87,0)</f>
        <v>0</v>
      </c>
      <c r="AU87" s="896">
        <f t="shared" ref="AU87:AU126" si="519">IF((P87="Terminé")*AND(E87="Tertiaire"),K87,0)</f>
        <v>0</v>
      </c>
      <c r="AV87" s="896">
        <f t="shared" ref="AV87:AV126" si="520">IF((P87="Terminé")*AND(E87="Transport"),K87,0)</f>
        <v>0</v>
      </c>
      <c r="AW87" s="896">
        <f t="shared" ref="AW87:AW126" si="521">IF((P87="Terminé")*AND(E87="Communal"),K87,0)</f>
        <v>0</v>
      </c>
      <c r="AY87" s="896">
        <f t="shared" ref="AY87:AY126" si="522">IF((P87="Terminé")*AND(E87="Territoire"),L87,0)</f>
        <v>0</v>
      </c>
      <c r="AZ87" s="896">
        <f t="shared" ref="AZ87:AZ126" si="523">IF((P87="Terminé")*AND(E87="Agriculture"),L87,0)</f>
        <v>0</v>
      </c>
      <c r="BA87" s="896">
        <f t="shared" ref="BA87:BA126" si="524">IF((P87="Terminé")*AND(E87="Industrie"), L87,0)</f>
        <v>0</v>
      </c>
      <c r="BB87" s="896">
        <f t="shared" ref="BB87:BB126" si="525">IF((P87="Terminé")*AND(E87="Logement"), L87,0)</f>
        <v>0</v>
      </c>
      <c r="BC87" s="896">
        <f t="shared" ref="BC87:BC126" si="526">IF((P87="Terminé")*AND(E87="Tertiaire"),L87,0)</f>
        <v>0</v>
      </c>
      <c r="BD87" s="896">
        <f t="shared" ref="BD87:BD126" si="527">IF((P87="Terminé")*AND(E87="Transport"),L87,0)</f>
        <v>0</v>
      </c>
      <c r="BE87" s="896">
        <f t="shared" ref="BE87:BE126" si="528">IF((P87="Terminé")*AND(E87="Communal"),L87,0)</f>
        <v>0</v>
      </c>
      <c r="BG87" s="896">
        <f t="shared" ref="BG87:BG126" si="529">IF((P87="Terminé")*AND(F87="Agriculture"),H87,0)</f>
        <v>0</v>
      </c>
      <c r="BH87" s="896">
        <f t="shared" ref="BH87:BH126" si="530">IF((P87="Terminé")*AND(F87="Industrie"),H87,0)</f>
        <v>0</v>
      </c>
      <c r="BI87" s="896">
        <f t="shared" ref="BI87:BI126" si="531">IF((P87="Terminé")*AND(F87="Citoyen"), H87,0)</f>
        <v>0</v>
      </c>
      <c r="BJ87" s="896">
        <f t="shared" ref="BJ87:BJ126" si="532">IF((P87="Terminé")*AND(F87="IDELUX"), H87,0)</f>
        <v>0</v>
      </c>
      <c r="BK87" s="898">
        <f t="shared" si="393"/>
        <v>0</v>
      </c>
      <c r="BL87" s="896">
        <f t="shared" ref="BL87:BL126" si="533">IF((P87="Terminé")*AND(F87="Tertiaire"),H87,0)</f>
        <v>0</v>
      </c>
      <c r="BN87" s="896">
        <f t="shared" ref="BN87:BN126" si="534">IF((P87="Terminé")*AND(F87="Agriculture"),J87,0)</f>
        <v>0</v>
      </c>
      <c r="BO87" s="896">
        <f t="shared" ref="BO87:BO126" si="535">IF((P87="Terminé")*AND(F87="Industrie"),J87,0)</f>
        <v>0</v>
      </c>
      <c r="BP87" s="896">
        <f t="shared" ref="BP87:BP126" si="536">IF((P87="Terminé")*AND(F87="Citoyen"), J87,0)</f>
        <v>0</v>
      </c>
      <c r="BQ87" s="896">
        <f t="shared" ref="BQ87:BQ126" si="537">IF((P87="Terminé")*AND(F87="IDELUX"), J87,0)</f>
        <v>0</v>
      </c>
      <c r="BR87" s="898">
        <f t="shared" si="394"/>
        <v>0</v>
      </c>
      <c r="BS87" s="896">
        <f t="shared" ref="BS87:BS126" si="538">IF((P87="Terminé")*AND(F87="Tertiaire"),J87,0)</f>
        <v>0</v>
      </c>
    </row>
    <row r="88" spans="1:85" s="897" customFormat="1" ht="18" customHeight="1" x14ac:dyDescent="0.25">
      <c r="A88" s="886" t="s">
        <v>800</v>
      </c>
      <c r="B88" s="886" t="str">
        <f>'ADU-75'!B$3:E$3</f>
        <v>ER Electricité</v>
      </c>
      <c r="C88" s="887" t="str">
        <f>'ADU-75'!$B$8</f>
        <v>Bâtiments agricoles</v>
      </c>
      <c r="D88" s="888" t="str">
        <f>'ADU-75'!$B$9</f>
        <v>PhV &lt;10 kWc</v>
      </c>
      <c r="E88" s="888" t="str">
        <f>'ADU-75'!$B$4</f>
        <v>Agriculture</v>
      </c>
      <c r="F88" s="888" t="str">
        <f>'ADU-75'!$B$12</f>
        <v>Agriculture</v>
      </c>
      <c r="G88" s="888" t="str">
        <f>'ADU-75'!$B$6</f>
        <v>1/3 invest</v>
      </c>
      <c r="H88" s="889">
        <f>'ADU-75'!$B$17</f>
        <v>48400</v>
      </c>
      <c r="I88" s="888" t="str">
        <f>'ADU-75'!$B$7</f>
        <v>CV</v>
      </c>
      <c r="J88" s="889">
        <f>'ADU-75'!$B$18</f>
        <v>0</v>
      </c>
      <c r="K88" s="889">
        <f>'ADU-75'!$B$21</f>
        <v>3600</v>
      </c>
      <c r="L88" s="889">
        <f>'ADU-75'!$B$22</f>
        <v>2808</v>
      </c>
      <c r="M88" s="890">
        <f>'ADU-75'!$B$24</f>
        <v>7.5530586766541825</v>
      </c>
      <c r="N88" s="891">
        <f>'ADU-75'!$B$25</f>
        <v>9.0654545454545463</v>
      </c>
      <c r="O88" s="892">
        <f t="shared" si="493"/>
        <v>0.18730277986476335</v>
      </c>
      <c r="P88" s="893" t="str">
        <f>'ADU-75'!$B$5</f>
        <v>A faire</v>
      </c>
      <c r="Q88" s="894">
        <f>'ADU-75'!$B$16</f>
        <v>2030</v>
      </c>
      <c r="R88" s="895" t="str">
        <f t="shared" si="492"/>
        <v/>
      </c>
      <c r="S88" s="896">
        <f t="shared" si="494"/>
        <v>0</v>
      </c>
      <c r="T88" s="896">
        <f t="shared" si="495"/>
        <v>0</v>
      </c>
      <c r="U88" s="896">
        <f t="shared" si="496"/>
        <v>0</v>
      </c>
      <c r="V88" s="896">
        <f t="shared" si="497"/>
        <v>0</v>
      </c>
      <c r="W88" s="896">
        <f t="shared" si="498"/>
        <v>0</v>
      </c>
      <c r="X88" s="896">
        <f t="shared" si="499"/>
        <v>0</v>
      </c>
      <c r="Y88" s="896">
        <f t="shared" si="500"/>
        <v>0</v>
      </c>
      <c r="AA88" s="896">
        <f t="shared" si="501"/>
        <v>0</v>
      </c>
      <c r="AB88" s="896">
        <f t="shared" si="502"/>
        <v>0</v>
      </c>
      <c r="AC88" s="896">
        <f t="shared" si="503"/>
        <v>0</v>
      </c>
      <c r="AD88" s="896">
        <f t="shared" si="504"/>
        <v>0</v>
      </c>
      <c r="AE88" s="896">
        <f t="shared" si="505"/>
        <v>0</v>
      </c>
      <c r="AF88" s="896">
        <f t="shared" si="506"/>
        <v>0</v>
      </c>
      <c r="AG88" s="896">
        <f t="shared" si="507"/>
        <v>0</v>
      </c>
      <c r="AI88" s="896">
        <f t="shared" si="508"/>
        <v>0</v>
      </c>
      <c r="AJ88" s="896">
        <f t="shared" si="509"/>
        <v>0</v>
      </c>
      <c r="AK88" s="896">
        <f t="shared" si="510"/>
        <v>0</v>
      </c>
      <c r="AL88" s="896">
        <f t="shared" si="511"/>
        <v>0</v>
      </c>
      <c r="AM88" s="896">
        <f t="shared" si="512"/>
        <v>0</v>
      </c>
      <c r="AN88" s="896">
        <f t="shared" si="513"/>
        <v>0</v>
      </c>
      <c r="AO88" s="896">
        <f t="shared" si="514"/>
        <v>0</v>
      </c>
      <c r="AQ88" s="896">
        <f t="shared" si="515"/>
        <v>0</v>
      </c>
      <c r="AR88" s="896">
        <f t="shared" si="516"/>
        <v>0</v>
      </c>
      <c r="AS88" s="896">
        <f t="shared" si="517"/>
        <v>0</v>
      </c>
      <c r="AT88" s="896">
        <f t="shared" si="518"/>
        <v>0</v>
      </c>
      <c r="AU88" s="896">
        <f t="shared" si="519"/>
        <v>0</v>
      </c>
      <c r="AV88" s="896">
        <f t="shared" si="520"/>
        <v>0</v>
      </c>
      <c r="AW88" s="896">
        <f t="shared" si="521"/>
        <v>0</v>
      </c>
      <c r="AY88" s="896">
        <f t="shared" si="522"/>
        <v>0</v>
      </c>
      <c r="AZ88" s="896">
        <f t="shared" si="523"/>
        <v>0</v>
      </c>
      <c r="BA88" s="896">
        <f t="shared" si="524"/>
        <v>0</v>
      </c>
      <c r="BB88" s="896">
        <f t="shared" si="525"/>
        <v>0</v>
      </c>
      <c r="BC88" s="896">
        <f t="shared" si="526"/>
        <v>0</v>
      </c>
      <c r="BD88" s="896">
        <f t="shared" si="527"/>
        <v>0</v>
      </c>
      <c r="BE88" s="896">
        <f t="shared" si="528"/>
        <v>0</v>
      </c>
      <c r="BG88" s="896">
        <f t="shared" si="529"/>
        <v>0</v>
      </c>
      <c r="BH88" s="896">
        <f t="shared" si="530"/>
        <v>0</v>
      </c>
      <c r="BI88" s="896">
        <f t="shared" si="531"/>
        <v>0</v>
      </c>
      <c r="BJ88" s="896">
        <f t="shared" si="532"/>
        <v>0</v>
      </c>
      <c r="BK88" s="898">
        <f t="shared" si="393"/>
        <v>0</v>
      </c>
      <c r="BL88" s="896">
        <f t="shared" si="533"/>
        <v>0</v>
      </c>
      <c r="BN88" s="896">
        <f t="shared" si="534"/>
        <v>0</v>
      </c>
      <c r="BO88" s="896">
        <f t="shared" si="535"/>
        <v>0</v>
      </c>
      <c r="BP88" s="896">
        <f t="shared" si="536"/>
        <v>0</v>
      </c>
      <c r="BQ88" s="896">
        <f t="shared" si="537"/>
        <v>0</v>
      </c>
      <c r="BR88" s="898">
        <f t="shared" si="394"/>
        <v>0</v>
      </c>
      <c r="BS88" s="896">
        <f t="shared" si="538"/>
        <v>0</v>
      </c>
    </row>
    <row r="89" spans="1:85" s="897" customFormat="1" ht="18" customHeight="1" x14ac:dyDescent="0.25">
      <c r="A89" s="886" t="s">
        <v>799</v>
      </c>
      <c r="B89" s="886" t="str">
        <f>'ADU-76'!B$3:E$3</f>
        <v>ER Electricité</v>
      </c>
      <c r="C89" s="887" t="str">
        <f>'ADU-76'!$B$8</f>
        <v>Bâtiments tertiaires</v>
      </c>
      <c r="D89" s="888" t="str">
        <f>'ADU-76'!$B$9</f>
        <v>Phv &lt;  10 kWc</v>
      </c>
      <c r="E89" s="888" t="str">
        <f>'ADU-76'!$B$4</f>
        <v>Tertiaire</v>
      </c>
      <c r="F89" s="888" t="str">
        <f>'ADU-76'!$B$12</f>
        <v>Tertiaire</v>
      </c>
      <c r="G89" s="888" t="str">
        <f>'ADU-76'!$B$6</f>
        <v>Fonds propres</v>
      </c>
      <c r="H89" s="889">
        <f>'ADU-76'!$B$17</f>
        <v>77343.000000000015</v>
      </c>
      <c r="I89" s="888" t="str">
        <f>'ADU-76'!$B$7</f>
        <v>Primes RW</v>
      </c>
      <c r="J89" s="889">
        <f>'ADU-76'!$B$18</f>
        <v>49993.000000000015</v>
      </c>
      <c r="K89" s="889">
        <f>'ADU-76'!$B$21</f>
        <v>22500</v>
      </c>
      <c r="L89" s="889">
        <f>'ADU-76'!$B$22</f>
        <v>0</v>
      </c>
      <c r="M89" s="890">
        <f>'ADU-76'!$B$24</f>
        <v>1.2155555555555555</v>
      </c>
      <c r="N89" s="891">
        <f>'ADU-76'!$B$25</f>
        <v>45.327272727272728</v>
      </c>
      <c r="O89" s="892">
        <f t="shared" si="493"/>
        <v>1.6573043044706663</v>
      </c>
      <c r="P89" s="893" t="str">
        <f>'ADU-76'!$B$5</f>
        <v>A faire</v>
      </c>
      <c r="Q89" s="894">
        <f>'ADU-76'!$B$16</f>
        <v>2030</v>
      </c>
      <c r="R89" s="895" t="str">
        <f t="shared" si="492"/>
        <v/>
      </c>
      <c r="S89" s="896">
        <f t="shared" si="494"/>
        <v>0</v>
      </c>
      <c r="T89" s="896">
        <f t="shared" si="495"/>
        <v>0</v>
      </c>
      <c r="U89" s="896">
        <f t="shared" si="496"/>
        <v>0</v>
      </c>
      <c r="V89" s="896">
        <f t="shared" si="497"/>
        <v>0</v>
      </c>
      <c r="W89" s="896">
        <f t="shared" si="498"/>
        <v>0</v>
      </c>
      <c r="X89" s="896">
        <f t="shared" si="499"/>
        <v>0</v>
      </c>
      <c r="Y89" s="896">
        <f t="shared" si="500"/>
        <v>0</v>
      </c>
      <c r="AA89" s="896">
        <f t="shared" si="501"/>
        <v>0</v>
      </c>
      <c r="AB89" s="896">
        <f t="shared" si="502"/>
        <v>0</v>
      </c>
      <c r="AC89" s="896">
        <f t="shared" si="503"/>
        <v>0</v>
      </c>
      <c r="AD89" s="896">
        <f t="shared" si="504"/>
        <v>0</v>
      </c>
      <c r="AE89" s="896">
        <f t="shared" si="505"/>
        <v>0</v>
      </c>
      <c r="AF89" s="896">
        <f t="shared" si="506"/>
        <v>0</v>
      </c>
      <c r="AG89" s="896">
        <f t="shared" si="507"/>
        <v>0</v>
      </c>
      <c r="AI89" s="896">
        <f t="shared" si="508"/>
        <v>0</v>
      </c>
      <c r="AJ89" s="896">
        <f t="shared" si="509"/>
        <v>0</v>
      </c>
      <c r="AK89" s="896">
        <f t="shared" si="510"/>
        <v>0</v>
      </c>
      <c r="AL89" s="896">
        <f t="shared" si="511"/>
        <v>0</v>
      </c>
      <c r="AM89" s="896">
        <f t="shared" si="512"/>
        <v>0</v>
      </c>
      <c r="AN89" s="896">
        <f t="shared" si="513"/>
        <v>0</v>
      </c>
      <c r="AO89" s="896">
        <f t="shared" si="514"/>
        <v>0</v>
      </c>
      <c r="AQ89" s="896">
        <f t="shared" si="515"/>
        <v>0</v>
      </c>
      <c r="AR89" s="896">
        <f t="shared" si="516"/>
        <v>0</v>
      </c>
      <c r="AS89" s="896">
        <f t="shared" si="517"/>
        <v>0</v>
      </c>
      <c r="AT89" s="896">
        <f t="shared" si="518"/>
        <v>0</v>
      </c>
      <c r="AU89" s="896">
        <f t="shared" si="519"/>
        <v>0</v>
      </c>
      <c r="AV89" s="896">
        <f t="shared" si="520"/>
        <v>0</v>
      </c>
      <c r="AW89" s="896">
        <f t="shared" si="521"/>
        <v>0</v>
      </c>
      <c r="AY89" s="896">
        <f t="shared" si="522"/>
        <v>0</v>
      </c>
      <c r="AZ89" s="896">
        <f t="shared" si="523"/>
        <v>0</v>
      </c>
      <c r="BA89" s="896">
        <f t="shared" si="524"/>
        <v>0</v>
      </c>
      <c r="BB89" s="896">
        <f t="shared" si="525"/>
        <v>0</v>
      </c>
      <c r="BC89" s="896">
        <f t="shared" si="526"/>
        <v>0</v>
      </c>
      <c r="BD89" s="896">
        <f t="shared" si="527"/>
        <v>0</v>
      </c>
      <c r="BE89" s="896">
        <f t="shared" si="528"/>
        <v>0</v>
      </c>
      <c r="BG89" s="896">
        <f t="shared" si="529"/>
        <v>0</v>
      </c>
      <c r="BH89" s="896">
        <f t="shared" si="530"/>
        <v>0</v>
      </c>
      <c r="BI89" s="896">
        <f t="shared" si="531"/>
        <v>0</v>
      </c>
      <c r="BJ89" s="896">
        <f t="shared" si="532"/>
        <v>0</v>
      </c>
      <c r="BK89" s="898">
        <f t="shared" si="393"/>
        <v>0</v>
      </c>
      <c r="BL89" s="896">
        <f t="shared" si="533"/>
        <v>0</v>
      </c>
      <c r="BN89" s="896">
        <f t="shared" si="534"/>
        <v>0</v>
      </c>
      <c r="BO89" s="896">
        <f t="shared" si="535"/>
        <v>0</v>
      </c>
      <c r="BP89" s="896">
        <f t="shared" si="536"/>
        <v>0</v>
      </c>
      <c r="BQ89" s="896">
        <f t="shared" si="537"/>
        <v>0</v>
      </c>
      <c r="BR89" s="898">
        <f t="shared" si="394"/>
        <v>0</v>
      </c>
      <c r="BS89" s="896">
        <f t="shared" si="538"/>
        <v>0</v>
      </c>
    </row>
    <row r="90" spans="1:85" s="897" customFormat="1" ht="18" customHeight="1" x14ac:dyDescent="0.25">
      <c r="A90" s="886" t="s">
        <v>844</v>
      </c>
      <c r="B90" s="886" t="str">
        <f>'ADU-77'!B$3:E$3</f>
        <v>ER Electricité</v>
      </c>
      <c r="C90" s="887" t="str">
        <f>'ADU-77'!$B$8</f>
        <v>Bâtiments communaux</v>
      </c>
      <c r="D90" s="888" t="str">
        <f>'ADU-77'!$B$9</f>
        <v xml:space="preserve"> PhV &lt; 10 kWc - existant</v>
      </c>
      <c r="E90" s="888" t="str">
        <f>'ADU-77'!$B$4</f>
        <v>Communal</v>
      </c>
      <c r="F90" s="888" t="str">
        <f>'ADU-77'!$B$12</f>
        <v>AC MESSANCY</v>
      </c>
      <c r="G90" s="888" t="str">
        <f>'ADU-77'!$B$6</f>
        <v>Fonds propres</v>
      </c>
      <c r="H90" s="889">
        <f>'ADU-77'!$B$17</f>
        <v>37800</v>
      </c>
      <c r="I90" s="888" t="str">
        <f>'ADU-77'!$B$7</f>
        <v>Primes RW</v>
      </c>
      <c r="J90" s="889">
        <f>'ADU-77'!$B$18</f>
        <v>1872</v>
      </c>
      <c r="K90" s="889">
        <f>'ADU-77'!$B$21</f>
        <v>6804</v>
      </c>
      <c r="L90" s="889">
        <f>'ADU-77'!$B$22</f>
        <v>7371</v>
      </c>
      <c r="M90" s="890">
        <f>'ADU-77'!$B$24</f>
        <v>2.5346031746031747</v>
      </c>
      <c r="N90" s="891">
        <f>'ADU-77'!$B$25</f>
        <v>14.27809090909091</v>
      </c>
      <c r="O90" s="892">
        <f>IF(H90=0,0,N90/(H90-J90)*1000)</f>
        <v>0.39740845327017671</v>
      </c>
      <c r="P90" s="893" t="str">
        <f>'ADU-77'!$B$5</f>
        <v>Terminé</v>
      </c>
      <c r="Q90" s="894">
        <f>'ADU-77'!$B$16</f>
        <v>2018</v>
      </c>
      <c r="R90" s="895">
        <f>IF(P90="terminé", N90,"")</f>
        <v>14.27809090909091</v>
      </c>
      <c r="S90" s="896">
        <f t="shared" si="494"/>
        <v>0</v>
      </c>
      <c r="T90" s="896">
        <f t="shared" si="495"/>
        <v>0</v>
      </c>
      <c r="U90" s="896">
        <f t="shared" si="496"/>
        <v>0</v>
      </c>
      <c r="V90" s="896">
        <f t="shared" si="497"/>
        <v>0</v>
      </c>
      <c r="W90" s="896">
        <f t="shared" si="498"/>
        <v>0</v>
      </c>
      <c r="X90" s="896">
        <f t="shared" si="499"/>
        <v>0</v>
      </c>
      <c r="Y90" s="896">
        <f t="shared" si="500"/>
        <v>14.27809090909091</v>
      </c>
      <c r="AA90" s="896">
        <f t="shared" si="501"/>
        <v>0</v>
      </c>
      <c r="AB90" s="896">
        <f t="shared" si="502"/>
        <v>0</v>
      </c>
      <c r="AC90" s="896">
        <f t="shared" si="503"/>
        <v>0</v>
      </c>
      <c r="AD90" s="896">
        <f t="shared" si="504"/>
        <v>0</v>
      </c>
      <c r="AE90" s="896">
        <f t="shared" si="505"/>
        <v>0</v>
      </c>
      <c r="AF90" s="896">
        <f t="shared" si="506"/>
        <v>0</v>
      </c>
      <c r="AG90" s="896">
        <f t="shared" si="507"/>
        <v>37800</v>
      </c>
      <c r="AI90" s="896">
        <f t="shared" si="508"/>
        <v>0</v>
      </c>
      <c r="AJ90" s="896">
        <f t="shared" si="509"/>
        <v>0</v>
      </c>
      <c r="AK90" s="896">
        <f t="shared" si="510"/>
        <v>0</v>
      </c>
      <c r="AL90" s="896">
        <f t="shared" si="511"/>
        <v>0</v>
      </c>
      <c r="AM90" s="896">
        <f t="shared" si="512"/>
        <v>0</v>
      </c>
      <c r="AN90" s="896">
        <f t="shared" si="513"/>
        <v>0</v>
      </c>
      <c r="AO90" s="896">
        <f t="shared" si="514"/>
        <v>1872</v>
      </c>
      <c r="AQ90" s="896">
        <f t="shared" si="515"/>
        <v>0</v>
      </c>
      <c r="AR90" s="896">
        <f t="shared" si="516"/>
        <v>0</v>
      </c>
      <c r="AS90" s="896">
        <f t="shared" si="517"/>
        <v>0</v>
      </c>
      <c r="AT90" s="896">
        <f t="shared" si="518"/>
        <v>0</v>
      </c>
      <c r="AU90" s="896">
        <f t="shared" si="519"/>
        <v>0</v>
      </c>
      <c r="AV90" s="896">
        <f t="shared" si="520"/>
        <v>0</v>
      </c>
      <c r="AW90" s="896">
        <f t="shared" si="521"/>
        <v>6804</v>
      </c>
      <c r="AY90" s="896">
        <f t="shared" si="522"/>
        <v>0</v>
      </c>
      <c r="AZ90" s="896">
        <f t="shared" si="523"/>
        <v>0</v>
      </c>
      <c r="BA90" s="896">
        <f t="shared" si="524"/>
        <v>0</v>
      </c>
      <c r="BB90" s="896">
        <f t="shared" si="525"/>
        <v>0</v>
      </c>
      <c r="BC90" s="896">
        <f t="shared" si="526"/>
        <v>0</v>
      </c>
      <c r="BD90" s="896">
        <f t="shared" si="527"/>
        <v>0</v>
      </c>
      <c r="BE90" s="896">
        <f t="shared" si="528"/>
        <v>7371</v>
      </c>
      <c r="BG90" s="896">
        <f t="shared" si="529"/>
        <v>0</v>
      </c>
      <c r="BH90" s="896">
        <f t="shared" si="530"/>
        <v>0</v>
      </c>
      <c r="BI90" s="896">
        <f t="shared" si="531"/>
        <v>0</v>
      </c>
      <c r="BJ90" s="896">
        <f t="shared" si="532"/>
        <v>0</v>
      </c>
      <c r="BK90" s="898">
        <f t="shared" si="393"/>
        <v>37800</v>
      </c>
      <c r="BL90" s="896">
        <f t="shared" si="533"/>
        <v>0</v>
      </c>
      <c r="BN90" s="896">
        <f t="shared" si="534"/>
        <v>0</v>
      </c>
      <c r="BO90" s="896">
        <f t="shared" si="535"/>
        <v>0</v>
      </c>
      <c r="BP90" s="896">
        <f t="shared" si="536"/>
        <v>0</v>
      </c>
      <c r="BQ90" s="896">
        <f t="shared" si="537"/>
        <v>0</v>
      </c>
      <c r="BR90" s="898">
        <f t="shared" si="394"/>
        <v>1872</v>
      </c>
      <c r="BS90" s="896">
        <f t="shared" si="538"/>
        <v>0</v>
      </c>
    </row>
    <row r="91" spans="1:85" s="897" customFormat="1" ht="18" customHeight="1" x14ac:dyDescent="0.25">
      <c r="A91" s="886" t="s">
        <v>798</v>
      </c>
      <c r="B91" s="886" t="str">
        <f>'ADU-80'!B$3:E$3</f>
        <v>ER Electricité</v>
      </c>
      <c r="C91" s="887" t="str">
        <f>'ADU-123'!$B$8</f>
        <v>Production de combustible biomasse</v>
      </c>
      <c r="D91" s="888" t="str">
        <f>'ADU-80'!$B$9</f>
        <v>Participation parcs éoliens</v>
      </c>
      <c r="E91" s="888" t="str">
        <f>'ADU-80'!$B$4</f>
        <v>Territoire</v>
      </c>
      <c r="F91" s="888" t="str">
        <f>'ADU-80'!$B$12</f>
        <v>AC MESSANCY</v>
      </c>
      <c r="G91" s="888" t="str">
        <f>'ADU-80'!$B$6</f>
        <v>Montage</v>
      </c>
      <c r="H91" s="889">
        <f>'ADU-80'!$B$17</f>
        <v>447079.82401005662</v>
      </c>
      <c r="I91" s="888" t="str">
        <f>'ADU-80'!$B$7</f>
        <v>Subs RW</v>
      </c>
      <c r="J91" s="889">
        <f>'ADU-80'!$B$18</f>
        <v>134123.94720301699</v>
      </c>
      <c r="K91" s="889">
        <f>'ADU-80'!$B$21</f>
        <v>12695.301907515492</v>
      </c>
      <c r="L91" s="889">
        <f>'ADU-80'!$B$22</f>
        <v>0</v>
      </c>
      <c r="M91" s="890">
        <f>'ADU-80'!$B$24</f>
        <v>24.651314248916982</v>
      </c>
      <c r="N91" s="891">
        <f>'ADU-80'!$B$25</f>
        <v>159.84539219917232</v>
      </c>
      <c r="O91" s="892">
        <f t="shared" si="493"/>
        <v>0.5107601551695059</v>
      </c>
      <c r="P91" s="893" t="str">
        <f>'ADU-80'!$B$5</f>
        <v>Terminé</v>
      </c>
      <c r="Q91" s="894">
        <f>'ADU-80'!$B$16</f>
        <v>2015</v>
      </c>
      <c r="R91" s="895">
        <f t="shared" si="492"/>
        <v>159.84539219917232</v>
      </c>
      <c r="S91" s="896">
        <f t="shared" si="494"/>
        <v>159.84539219917232</v>
      </c>
      <c r="T91" s="896">
        <f t="shared" si="495"/>
        <v>0</v>
      </c>
      <c r="U91" s="896">
        <f t="shared" si="496"/>
        <v>0</v>
      </c>
      <c r="V91" s="896">
        <f t="shared" si="497"/>
        <v>0</v>
      </c>
      <c r="W91" s="896">
        <f t="shared" si="498"/>
        <v>0</v>
      </c>
      <c r="X91" s="896">
        <f t="shared" si="499"/>
        <v>0</v>
      </c>
      <c r="Y91" s="896">
        <f t="shared" si="500"/>
        <v>0</v>
      </c>
      <c r="AA91" s="896">
        <f t="shared" si="501"/>
        <v>447079.82401005662</v>
      </c>
      <c r="AB91" s="896">
        <f t="shared" si="502"/>
        <v>0</v>
      </c>
      <c r="AC91" s="896">
        <f t="shared" si="503"/>
        <v>0</v>
      </c>
      <c r="AD91" s="896">
        <f t="shared" si="504"/>
        <v>0</v>
      </c>
      <c r="AE91" s="896">
        <f t="shared" si="505"/>
        <v>0</v>
      </c>
      <c r="AF91" s="896">
        <f t="shared" si="506"/>
        <v>0</v>
      </c>
      <c r="AG91" s="896">
        <f t="shared" si="507"/>
        <v>0</v>
      </c>
      <c r="AI91" s="896">
        <f t="shared" si="508"/>
        <v>134123.94720301699</v>
      </c>
      <c r="AJ91" s="896">
        <f t="shared" si="509"/>
        <v>0</v>
      </c>
      <c r="AK91" s="896">
        <f t="shared" si="510"/>
        <v>0</v>
      </c>
      <c r="AL91" s="896">
        <f t="shared" si="511"/>
        <v>0</v>
      </c>
      <c r="AM91" s="896">
        <f t="shared" si="512"/>
        <v>0</v>
      </c>
      <c r="AN91" s="896">
        <f t="shared" si="513"/>
        <v>0</v>
      </c>
      <c r="AO91" s="896">
        <f t="shared" si="514"/>
        <v>0</v>
      </c>
      <c r="AQ91" s="896">
        <f t="shared" si="515"/>
        <v>12695.301907515492</v>
      </c>
      <c r="AR91" s="896">
        <f t="shared" si="516"/>
        <v>0</v>
      </c>
      <c r="AS91" s="896">
        <f t="shared" si="517"/>
        <v>0</v>
      </c>
      <c r="AT91" s="896">
        <f t="shared" si="518"/>
        <v>0</v>
      </c>
      <c r="AU91" s="896">
        <f t="shared" si="519"/>
        <v>0</v>
      </c>
      <c r="AV91" s="896">
        <f t="shared" si="520"/>
        <v>0</v>
      </c>
      <c r="AW91" s="896">
        <f t="shared" si="521"/>
        <v>0</v>
      </c>
      <c r="AY91" s="896">
        <f t="shared" si="522"/>
        <v>0</v>
      </c>
      <c r="AZ91" s="896">
        <f t="shared" si="523"/>
        <v>0</v>
      </c>
      <c r="BA91" s="896">
        <f t="shared" si="524"/>
        <v>0</v>
      </c>
      <c r="BB91" s="896">
        <f t="shared" si="525"/>
        <v>0</v>
      </c>
      <c r="BC91" s="896">
        <f t="shared" si="526"/>
        <v>0</v>
      </c>
      <c r="BD91" s="896">
        <f t="shared" si="527"/>
        <v>0</v>
      </c>
      <c r="BE91" s="896">
        <f t="shared" si="528"/>
        <v>0</v>
      </c>
      <c r="BG91" s="896">
        <f t="shared" si="529"/>
        <v>0</v>
      </c>
      <c r="BH91" s="896">
        <f t="shared" si="530"/>
        <v>0</v>
      </c>
      <c r="BI91" s="896">
        <f t="shared" si="531"/>
        <v>0</v>
      </c>
      <c r="BJ91" s="896">
        <f t="shared" si="532"/>
        <v>0</v>
      </c>
      <c r="BK91" s="898">
        <f t="shared" si="393"/>
        <v>447079.82401005662</v>
      </c>
      <c r="BL91" s="896">
        <f t="shared" si="533"/>
        <v>0</v>
      </c>
      <c r="BN91" s="896">
        <f t="shared" si="534"/>
        <v>0</v>
      </c>
      <c r="BO91" s="896">
        <f t="shared" si="535"/>
        <v>0</v>
      </c>
      <c r="BP91" s="896">
        <f t="shared" si="536"/>
        <v>0</v>
      </c>
      <c r="BQ91" s="896">
        <f t="shared" si="537"/>
        <v>0</v>
      </c>
      <c r="BR91" s="898">
        <f t="shared" si="394"/>
        <v>134123.94720301699</v>
      </c>
      <c r="BS91" s="896">
        <f t="shared" si="538"/>
        <v>0</v>
      </c>
      <c r="BT91" s="899"/>
      <c r="BU91" s="899"/>
      <c r="BV91" s="899"/>
      <c r="BW91" s="899"/>
      <c r="BX91" s="899"/>
      <c r="BY91" s="899"/>
      <c r="BZ91" s="899"/>
      <c r="CA91" s="899"/>
      <c r="CB91" s="899"/>
      <c r="CC91" s="899"/>
      <c r="CD91" s="899"/>
      <c r="CE91" s="899"/>
      <c r="CF91" s="899"/>
      <c r="CG91" s="899"/>
    </row>
    <row r="92" spans="1:85" s="897" customFormat="1" ht="18" customHeight="1" x14ac:dyDescent="0.25">
      <c r="A92" s="886" t="s">
        <v>797</v>
      </c>
      <c r="B92" s="886" t="str">
        <f>'ADU-81'!B$3:E$3</f>
        <v>ER Electricité</v>
      </c>
      <c r="C92" s="887" t="str">
        <f>'ADU-81'!$B$8</f>
        <v>Exploitation agricole</v>
      </c>
      <c r="D92" s="888" t="str">
        <f>'ADU-81'!$B$9</f>
        <v>Eolienne de 10 kW</v>
      </c>
      <c r="E92" s="888" t="str">
        <f>'ADU-81'!$B$4</f>
        <v>Agriculture</v>
      </c>
      <c r="F92" s="888" t="str">
        <f>'ADU-81'!$B$12</f>
        <v>Industrie</v>
      </c>
      <c r="G92" s="888" t="str">
        <f>'ADU-81'!$B$6</f>
        <v>Prêt bancaire</v>
      </c>
      <c r="H92" s="889">
        <f>'ADU-81'!$B$17</f>
        <v>97000</v>
      </c>
      <c r="I92" s="888" t="str">
        <f>'ADU-81'!$B$7</f>
        <v>CV</v>
      </c>
      <c r="J92" s="889">
        <f>'ADU-81'!$B$18</f>
        <v>19400</v>
      </c>
      <c r="K92" s="889">
        <f>'ADU-81'!$B$21</f>
        <v>8863.5</v>
      </c>
      <c r="L92" s="889">
        <f>'ADU-81'!$B$22</f>
        <v>2304.5100000000002</v>
      </c>
      <c r="M92" s="890">
        <f>'ADU-81'!$B$24</f>
        <v>6.9484178470470566</v>
      </c>
      <c r="N92" s="891">
        <f>'ADU-81'!$B$25</f>
        <v>17.855923636363638</v>
      </c>
      <c r="O92" s="892">
        <f t="shared" si="493"/>
        <v>0.23010210871602627</v>
      </c>
      <c r="P92" s="893" t="str">
        <f>'ADU-81'!$B$5</f>
        <v>A faire</v>
      </c>
      <c r="Q92" s="894">
        <f>'ADU-81'!$B$16</f>
        <v>2030</v>
      </c>
      <c r="R92" s="895" t="str">
        <f t="shared" si="492"/>
        <v/>
      </c>
      <c r="S92" s="896">
        <f t="shared" si="494"/>
        <v>0</v>
      </c>
      <c r="T92" s="896">
        <f t="shared" si="495"/>
        <v>0</v>
      </c>
      <c r="U92" s="896">
        <f t="shared" si="496"/>
        <v>0</v>
      </c>
      <c r="V92" s="896">
        <f t="shared" si="497"/>
        <v>0</v>
      </c>
      <c r="W92" s="896">
        <f t="shared" si="498"/>
        <v>0</v>
      </c>
      <c r="X92" s="896">
        <f t="shared" si="499"/>
        <v>0</v>
      </c>
      <c r="Y92" s="896">
        <f t="shared" si="500"/>
        <v>0</v>
      </c>
      <c r="AA92" s="896">
        <f t="shared" si="501"/>
        <v>0</v>
      </c>
      <c r="AB92" s="896">
        <f t="shared" si="502"/>
        <v>0</v>
      </c>
      <c r="AC92" s="896">
        <f t="shared" si="503"/>
        <v>0</v>
      </c>
      <c r="AD92" s="896">
        <f t="shared" si="504"/>
        <v>0</v>
      </c>
      <c r="AE92" s="896">
        <f t="shared" si="505"/>
        <v>0</v>
      </c>
      <c r="AF92" s="896">
        <f t="shared" si="506"/>
        <v>0</v>
      </c>
      <c r="AG92" s="896">
        <f t="shared" si="507"/>
        <v>0</v>
      </c>
      <c r="AI92" s="896">
        <f t="shared" si="508"/>
        <v>0</v>
      </c>
      <c r="AJ92" s="896">
        <f t="shared" si="509"/>
        <v>0</v>
      </c>
      <c r="AK92" s="896">
        <f t="shared" si="510"/>
        <v>0</v>
      </c>
      <c r="AL92" s="896">
        <f t="shared" si="511"/>
        <v>0</v>
      </c>
      <c r="AM92" s="896">
        <f t="shared" si="512"/>
        <v>0</v>
      </c>
      <c r="AN92" s="896">
        <f t="shared" si="513"/>
        <v>0</v>
      </c>
      <c r="AO92" s="896">
        <f t="shared" si="514"/>
        <v>0</v>
      </c>
      <c r="AQ92" s="896">
        <f t="shared" si="515"/>
        <v>0</v>
      </c>
      <c r="AR92" s="896">
        <f t="shared" si="516"/>
        <v>0</v>
      </c>
      <c r="AS92" s="896">
        <f t="shared" si="517"/>
        <v>0</v>
      </c>
      <c r="AT92" s="896">
        <f t="shared" si="518"/>
        <v>0</v>
      </c>
      <c r="AU92" s="896">
        <f t="shared" si="519"/>
        <v>0</v>
      </c>
      <c r="AV92" s="896">
        <f t="shared" si="520"/>
        <v>0</v>
      </c>
      <c r="AW92" s="896">
        <f t="shared" si="521"/>
        <v>0</v>
      </c>
      <c r="AY92" s="896">
        <f t="shared" si="522"/>
        <v>0</v>
      </c>
      <c r="AZ92" s="896">
        <f t="shared" si="523"/>
        <v>0</v>
      </c>
      <c r="BA92" s="896">
        <f t="shared" si="524"/>
        <v>0</v>
      </c>
      <c r="BB92" s="896">
        <f t="shared" si="525"/>
        <v>0</v>
      </c>
      <c r="BC92" s="896">
        <f t="shared" si="526"/>
        <v>0</v>
      </c>
      <c r="BD92" s="896">
        <f t="shared" si="527"/>
        <v>0</v>
      </c>
      <c r="BE92" s="896">
        <f t="shared" si="528"/>
        <v>0</v>
      </c>
      <c r="BG92" s="896">
        <f t="shared" si="529"/>
        <v>0</v>
      </c>
      <c r="BH92" s="896">
        <f t="shared" si="530"/>
        <v>0</v>
      </c>
      <c r="BI92" s="896">
        <f t="shared" si="531"/>
        <v>0</v>
      </c>
      <c r="BJ92" s="896">
        <f t="shared" si="532"/>
        <v>0</v>
      </c>
      <c r="BK92" s="898">
        <f t="shared" si="393"/>
        <v>0</v>
      </c>
      <c r="BL92" s="896">
        <f t="shared" si="533"/>
        <v>0</v>
      </c>
      <c r="BN92" s="896">
        <f t="shared" si="534"/>
        <v>0</v>
      </c>
      <c r="BO92" s="896">
        <f t="shared" si="535"/>
        <v>0</v>
      </c>
      <c r="BP92" s="896">
        <f t="shared" si="536"/>
        <v>0</v>
      </c>
      <c r="BQ92" s="896">
        <f t="shared" si="537"/>
        <v>0</v>
      </c>
      <c r="BR92" s="898">
        <f t="shared" si="394"/>
        <v>0</v>
      </c>
      <c r="BS92" s="896">
        <f t="shared" si="538"/>
        <v>0</v>
      </c>
    </row>
    <row r="93" spans="1:85" s="897" customFormat="1" ht="18" customHeight="1" x14ac:dyDescent="0.25">
      <c r="A93" s="886" t="s">
        <v>796</v>
      </c>
      <c r="B93" s="886" t="str">
        <f>'ADU-82'!B$3:E$3</f>
        <v>ER Electricité</v>
      </c>
      <c r="C93" s="887" t="str">
        <f>'ADU-82'!$B$8</f>
        <v xml:space="preserve">Grand éolien </v>
      </c>
      <c r="D93" s="888" t="str">
        <f>'ADU-82'!$B$9</f>
        <v>Parc éolien de Hondelange</v>
      </c>
      <c r="E93" s="888" t="str">
        <f>'ADU-82'!$B$4</f>
        <v>Communal</v>
      </c>
      <c r="F93" s="888" t="str">
        <f>'ADU-82'!$B$12</f>
        <v>AC MESSANCY</v>
      </c>
      <c r="G93" s="888" t="str">
        <f>'ADU-82'!$B$6</f>
        <v>Montage</v>
      </c>
      <c r="H93" s="889">
        <f>'ADU-82'!$B$17</f>
        <v>15000000</v>
      </c>
      <c r="I93" s="888" t="str">
        <f>'ADU-82'!$B$7</f>
        <v>CV</v>
      </c>
      <c r="J93" s="889">
        <f>'ADU-82'!$B$18</f>
        <v>3000000</v>
      </c>
      <c r="K93" s="889">
        <f>'ADU-82'!$B$21</f>
        <v>863304.6980924845</v>
      </c>
      <c r="L93" s="889">
        <f>'ADU-82'!$B$22</f>
        <v>1402870.1344002872</v>
      </c>
      <c r="M93" s="890">
        <f>'ADU-82'!$B$24</f>
        <v>5.2952666440126821</v>
      </c>
      <c r="N93" s="891">
        <f>'ADU-82'!$B$25</f>
        <v>10709.945579238018</v>
      </c>
      <c r="O93" s="892">
        <f t="shared" si="493"/>
        <v>0.89249546493650145</v>
      </c>
      <c r="P93" s="893" t="str">
        <f>'ADU-82'!$B$5</f>
        <v>Terminé</v>
      </c>
      <c r="Q93" s="894">
        <f>'ADU-82'!$B$16</f>
        <v>2016</v>
      </c>
      <c r="R93" s="895">
        <f t="shared" si="492"/>
        <v>10709.945579238018</v>
      </c>
      <c r="S93" s="896">
        <f t="shared" si="494"/>
        <v>0</v>
      </c>
      <c r="T93" s="896">
        <f t="shared" si="495"/>
        <v>0</v>
      </c>
      <c r="U93" s="896">
        <f t="shared" si="496"/>
        <v>0</v>
      </c>
      <c r="V93" s="896">
        <f t="shared" si="497"/>
        <v>0</v>
      </c>
      <c r="W93" s="896">
        <f t="shared" si="498"/>
        <v>0</v>
      </c>
      <c r="X93" s="896">
        <f t="shared" si="499"/>
        <v>0</v>
      </c>
      <c r="Y93" s="896">
        <f t="shared" si="500"/>
        <v>10709.945579238018</v>
      </c>
      <c r="AA93" s="896">
        <f t="shared" si="501"/>
        <v>0</v>
      </c>
      <c r="AB93" s="896">
        <f t="shared" si="502"/>
        <v>0</v>
      </c>
      <c r="AC93" s="896">
        <f t="shared" si="503"/>
        <v>0</v>
      </c>
      <c r="AD93" s="896">
        <f t="shared" si="504"/>
        <v>0</v>
      </c>
      <c r="AE93" s="896">
        <f t="shared" si="505"/>
        <v>0</v>
      </c>
      <c r="AF93" s="896">
        <f t="shared" si="506"/>
        <v>0</v>
      </c>
      <c r="AG93" s="896">
        <f t="shared" si="507"/>
        <v>15000000</v>
      </c>
      <c r="AI93" s="896">
        <f t="shared" si="508"/>
        <v>0</v>
      </c>
      <c r="AJ93" s="896">
        <f t="shared" si="509"/>
        <v>0</v>
      </c>
      <c r="AK93" s="896">
        <f t="shared" si="510"/>
        <v>0</v>
      </c>
      <c r="AL93" s="896">
        <f t="shared" si="511"/>
        <v>0</v>
      </c>
      <c r="AM93" s="896">
        <f t="shared" si="512"/>
        <v>0</v>
      </c>
      <c r="AN93" s="896">
        <f t="shared" si="513"/>
        <v>0</v>
      </c>
      <c r="AO93" s="896">
        <f t="shared" si="514"/>
        <v>3000000</v>
      </c>
      <c r="AQ93" s="896">
        <f t="shared" si="515"/>
        <v>0</v>
      </c>
      <c r="AR93" s="896">
        <f t="shared" si="516"/>
        <v>0</v>
      </c>
      <c r="AS93" s="896">
        <f t="shared" si="517"/>
        <v>0</v>
      </c>
      <c r="AT93" s="896">
        <f t="shared" si="518"/>
        <v>0</v>
      </c>
      <c r="AU93" s="896">
        <f t="shared" si="519"/>
        <v>0</v>
      </c>
      <c r="AV93" s="896">
        <f t="shared" si="520"/>
        <v>0</v>
      </c>
      <c r="AW93" s="896">
        <f t="shared" si="521"/>
        <v>863304.6980924845</v>
      </c>
      <c r="AY93" s="896">
        <f t="shared" si="522"/>
        <v>0</v>
      </c>
      <c r="AZ93" s="896">
        <f t="shared" si="523"/>
        <v>0</v>
      </c>
      <c r="BA93" s="896">
        <f t="shared" si="524"/>
        <v>0</v>
      </c>
      <c r="BB93" s="896">
        <f t="shared" si="525"/>
        <v>0</v>
      </c>
      <c r="BC93" s="896">
        <f t="shared" si="526"/>
        <v>0</v>
      </c>
      <c r="BD93" s="896">
        <f t="shared" si="527"/>
        <v>0</v>
      </c>
      <c r="BE93" s="896">
        <f t="shared" si="528"/>
        <v>1402870.1344002872</v>
      </c>
      <c r="BG93" s="896">
        <f t="shared" si="529"/>
        <v>0</v>
      </c>
      <c r="BH93" s="896">
        <f t="shared" si="530"/>
        <v>0</v>
      </c>
      <c r="BI93" s="896">
        <f t="shared" si="531"/>
        <v>0</v>
      </c>
      <c r="BJ93" s="896">
        <f t="shared" si="532"/>
        <v>0</v>
      </c>
      <c r="BK93" s="898">
        <f t="shared" si="393"/>
        <v>15000000</v>
      </c>
      <c r="BL93" s="896">
        <f t="shared" si="533"/>
        <v>0</v>
      </c>
      <c r="BN93" s="896">
        <f t="shared" si="534"/>
        <v>0</v>
      </c>
      <c r="BO93" s="896">
        <f t="shared" si="535"/>
        <v>0</v>
      </c>
      <c r="BP93" s="896">
        <f t="shared" si="536"/>
        <v>0</v>
      </c>
      <c r="BQ93" s="896">
        <f t="shared" si="537"/>
        <v>0</v>
      </c>
      <c r="BR93" s="898">
        <f t="shared" si="394"/>
        <v>3000000</v>
      </c>
      <c r="BS93" s="896">
        <f t="shared" si="538"/>
        <v>0</v>
      </c>
    </row>
    <row r="94" spans="1:85" s="897" customFormat="1" ht="18" customHeight="1" x14ac:dyDescent="0.25">
      <c r="A94" s="886" t="s">
        <v>841</v>
      </c>
      <c r="B94" s="886" t="str">
        <f>'ADU-83'!B$3:E$3</f>
        <v>ER Electricité</v>
      </c>
      <c r="C94" s="887" t="str">
        <f>'ADU-83'!$B$8</f>
        <v>Hydroélectricité</v>
      </c>
      <c r="D94" s="888" t="str">
        <f>'ADU-83'!$B$9</f>
        <v>Restauration de moulins</v>
      </c>
      <c r="E94" s="888" t="str">
        <f>'ADU-83'!$B$4</f>
        <v>Logement</v>
      </c>
      <c r="F94" s="888" t="str">
        <f>'ADU-83'!$B$12</f>
        <v>Citoyen</v>
      </c>
      <c r="G94" s="888" t="str">
        <f>'ADU-83'!$B$6</f>
        <v>Montage</v>
      </c>
      <c r="H94" s="889">
        <f>'ADU-83'!$B$17</f>
        <v>50000</v>
      </c>
      <c r="I94" s="888" t="str">
        <f>'ADU-83'!$B$7</f>
        <v>CV</v>
      </c>
      <c r="J94" s="889">
        <f>'ADU-83'!$B$18</f>
        <v>10000</v>
      </c>
      <c r="K94" s="889">
        <f>'ADU-83'!$B$21</f>
        <v>686.78399999999999</v>
      </c>
      <c r="L94" s="889">
        <f>'ADU-83'!$B$22</f>
        <v>1116.0239999999999</v>
      </c>
      <c r="M94" s="890">
        <f>'ADU-83'!$B$24</f>
        <v>22.187609551322161</v>
      </c>
      <c r="N94" s="891">
        <f>'ADU-83'!$B$25</f>
        <v>8.6472349090909084</v>
      </c>
      <c r="O94" s="892">
        <f>IF(H94=0,0,N94/(H94-J94)*1000)</f>
        <v>0.21618087272727271</v>
      </c>
      <c r="P94" s="893" t="str">
        <f>'ADU-83'!$B$5</f>
        <v>Terminé</v>
      </c>
      <c r="Q94" s="894">
        <f>'ADU-83'!$B$16</f>
        <v>2017</v>
      </c>
      <c r="R94" s="895">
        <f>IF(P94="terminé", N94,"")</f>
        <v>8.6472349090909084</v>
      </c>
      <c r="S94" s="896">
        <f t="shared" si="494"/>
        <v>0</v>
      </c>
      <c r="T94" s="896">
        <f t="shared" si="495"/>
        <v>0</v>
      </c>
      <c r="U94" s="896">
        <f t="shared" si="496"/>
        <v>0</v>
      </c>
      <c r="V94" s="896">
        <f t="shared" si="497"/>
        <v>8.6472349090909084</v>
      </c>
      <c r="W94" s="896">
        <f t="shared" si="498"/>
        <v>0</v>
      </c>
      <c r="X94" s="896">
        <f t="shared" si="499"/>
        <v>0</v>
      </c>
      <c r="Y94" s="896">
        <f t="shared" si="500"/>
        <v>0</v>
      </c>
      <c r="AA94" s="896">
        <f t="shared" si="501"/>
        <v>0</v>
      </c>
      <c r="AB94" s="896">
        <f t="shared" si="502"/>
        <v>0</v>
      </c>
      <c r="AC94" s="896">
        <f t="shared" si="503"/>
        <v>0</v>
      </c>
      <c r="AD94" s="896">
        <f t="shared" si="504"/>
        <v>50000</v>
      </c>
      <c r="AE94" s="896">
        <f t="shared" si="505"/>
        <v>0</v>
      </c>
      <c r="AF94" s="896">
        <f t="shared" si="506"/>
        <v>0</v>
      </c>
      <c r="AG94" s="896">
        <f t="shared" si="507"/>
        <v>0</v>
      </c>
      <c r="AI94" s="896">
        <f t="shared" si="508"/>
        <v>0</v>
      </c>
      <c r="AJ94" s="896">
        <f t="shared" si="509"/>
        <v>0</v>
      </c>
      <c r="AK94" s="896">
        <f t="shared" si="510"/>
        <v>0</v>
      </c>
      <c r="AL94" s="896">
        <f t="shared" si="511"/>
        <v>10000</v>
      </c>
      <c r="AM94" s="896">
        <f t="shared" si="512"/>
        <v>0</v>
      </c>
      <c r="AN94" s="896">
        <f t="shared" si="513"/>
        <v>0</v>
      </c>
      <c r="AO94" s="896">
        <f t="shared" si="514"/>
        <v>0</v>
      </c>
      <c r="AQ94" s="896">
        <f t="shared" si="515"/>
        <v>0</v>
      </c>
      <c r="AR94" s="896">
        <f t="shared" si="516"/>
        <v>0</v>
      </c>
      <c r="AS94" s="896">
        <f t="shared" si="517"/>
        <v>0</v>
      </c>
      <c r="AT94" s="896">
        <f t="shared" si="518"/>
        <v>686.78399999999999</v>
      </c>
      <c r="AU94" s="896">
        <f t="shared" si="519"/>
        <v>0</v>
      </c>
      <c r="AV94" s="896">
        <f t="shared" si="520"/>
        <v>0</v>
      </c>
      <c r="AW94" s="896">
        <f t="shared" si="521"/>
        <v>0</v>
      </c>
      <c r="AY94" s="896">
        <f t="shared" si="522"/>
        <v>0</v>
      </c>
      <c r="AZ94" s="896">
        <f t="shared" si="523"/>
        <v>0</v>
      </c>
      <c r="BA94" s="896">
        <f t="shared" si="524"/>
        <v>0</v>
      </c>
      <c r="BB94" s="896">
        <f t="shared" si="525"/>
        <v>1116.0239999999999</v>
      </c>
      <c r="BC94" s="896">
        <f t="shared" si="526"/>
        <v>0</v>
      </c>
      <c r="BD94" s="896">
        <f t="shared" si="527"/>
        <v>0</v>
      </c>
      <c r="BE94" s="896">
        <f t="shared" si="528"/>
        <v>0</v>
      </c>
      <c r="BG94" s="896">
        <f t="shared" si="529"/>
        <v>0</v>
      </c>
      <c r="BH94" s="896">
        <f t="shared" si="530"/>
        <v>0</v>
      </c>
      <c r="BI94" s="896">
        <f t="shared" si="531"/>
        <v>50000</v>
      </c>
      <c r="BJ94" s="896">
        <f t="shared" si="532"/>
        <v>0</v>
      </c>
      <c r="BK94" s="898">
        <f t="shared" si="393"/>
        <v>0</v>
      </c>
      <c r="BL94" s="896">
        <f t="shared" si="533"/>
        <v>0</v>
      </c>
      <c r="BN94" s="896">
        <f t="shared" si="534"/>
        <v>0</v>
      </c>
      <c r="BO94" s="896">
        <f t="shared" si="535"/>
        <v>0</v>
      </c>
      <c r="BP94" s="896">
        <f t="shared" si="536"/>
        <v>10000</v>
      </c>
      <c r="BQ94" s="896">
        <f t="shared" si="537"/>
        <v>0</v>
      </c>
      <c r="BR94" s="898">
        <f t="shared" si="394"/>
        <v>0</v>
      </c>
      <c r="BS94" s="896">
        <f t="shared" si="538"/>
        <v>0</v>
      </c>
    </row>
    <row r="95" spans="1:85" s="897" customFormat="1" ht="18" customHeight="1" x14ac:dyDescent="0.25">
      <c r="A95" s="886" t="s">
        <v>795</v>
      </c>
      <c r="B95" s="886" t="str">
        <f>'ADU-90'!B$3:E$3</f>
        <v>ER Electricité</v>
      </c>
      <c r="C95" s="887" t="str">
        <f>'ADU-90'!$B$8</f>
        <v>Agriculteurs</v>
      </c>
      <c r="D95" s="888" t="str">
        <f>'ADU-90'!$B$9</f>
        <v xml:space="preserve">Micro biogaz </v>
      </c>
      <c r="E95" s="888" t="str">
        <f>'ADU-90'!$B$4</f>
        <v>Agriculture</v>
      </c>
      <c r="F95" s="888" t="str">
        <f>'ADU-90'!$B$12</f>
        <v>Agriculture</v>
      </c>
      <c r="G95" s="888" t="str">
        <f>'ADU-90'!$B$6</f>
        <v>1/3 invest</v>
      </c>
      <c r="H95" s="889">
        <f>'ADU-90'!$B$17</f>
        <v>120000</v>
      </c>
      <c r="I95" s="888" t="str">
        <f>'ADU-90'!$B$7</f>
        <v>Subs RW</v>
      </c>
      <c r="J95" s="889">
        <f>'ADU-90'!$B$18</f>
        <v>36000</v>
      </c>
      <c r="K95" s="889">
        <f>'ADU-90'!$B$21</f>
        <v>0</v>
      </c>
      <c r="L95" s="889">
        <f>'ADU-90'!$B$22</f>
        <v>8365.5000000000018</v>
      </c>
      <c r="M95" s="890">
        <f>'ADU-90'!$B$24</f>
        <v>10.041240810471578</v>
      </c>
      <c r="N95" s="891">
        <f>'ADU-90'!$B$25</f>
        <v>48.455643600000002</v>
      </c>
      <c r="O95" s="892">
        <f t="shared" si="493"/>
        <v>0.57685290000000011</v>
      </c>
      <c r="P95" s="893" t="str">
        <f>'ADU-90'!$B$5</f>
        <v>A faire</v>
      </c>
      <c r="Q95" s="894">
        <f>'ADU-90'!$B$16</f>
        <v>2030</v>
      </c>
      <c r="R95" s="895" t="str">
        <f t="shared" si="492"/>
        <v/>
      </c>
      <c r="S95" s="896">
        <f t="shared" si="494"/>
        <v>0</v>
      </c>
      <c r="T95" s="896">
        <f t="shared" si="495"/>
        <v>0</v>
      </c>
      <c r="U95" s="896">
        <f t="shared" si="496"/>
        <v>0</v>
      </c>
      <c r="V95" s="896">
        <f t="shared" si="497"/>
        <v>0</v>
      </c>
      <c r="W95" s="896">
        <f t="shared" si="498"/>
        <v>0</v>
      </c>
      <c r="X95" s="896">
        <f t="shared" si="499"/>
        <v>0</v>
      </c>
      <c r="Y95" s="896">
        <f t="shared" si="500"/>
        <v>0</v>
      </c>
      <c r="AA95" s="896">
        <f t="shared" si="501"/>
        <v>0</v>
      </c>
      <c r="AB95" s="896">
        <f t="shared" si="502"/>
        <v>0</v>
      </c>
      <c r="AC95" s="896">
        <f t="shared" si="503"/>
        <v>0</v>
      </c>
      <c r="AD95" s="896">
        <f t="shared" si="504"/>
        <v>0</v>
      </c>
      <c r="AE95" s="896">
        <f t="shared" si="505"/>
        <v>0</v>
      </c>
      <c r="AF95" s="896">
        <f t="shared" si="506"/>
        <v>0</v>
      </c>
      <c r="AG95" s="896">
        <f t="shared" si="507"/>
        <v>0</v>
      </c>
      <c r="AI95" s="896">
        <f t="shared" si="508"/>
        <v>0</v>
      </c>
      <c r="AJ95" s="896">
        <f t="shared" si="509"/>
        <v>0</v>
      </c>
      <c r="AK95" s="896">
        <f t="shared" si="510"/>
        <v>0</v>
      </c>
      <c r="AL95" s="896">
        <f t="shared" si="511"/>
        <v>0</v>
      </c>
      <c r="AM95" s="896">
        <f t="shared" si="512"/>
        <v>0</v>
      </c>
      <c r="AN95" s="896">
        <f t="shared" si="513"/>
        <v>0</v>
      </c>
      <c r="AO95" s="896">
        <f t="shared" si="514"/>
        <v>0</v>
      </c>
      <c r="AQ95" s="896">
        <f t="shared" si="515"/>
        <v>0</v>
      </c>
      <c r="AR95" s="896">
        <f t="shared" si="516"/>
        <v>0</v>
      </c>
      <c r="AS95" s="896">
        <f t="shared" si="517"/>
        <v>0</v>
      </c>
      <c r="AT95" s="896">
        <f t="shared" si="518"/>
        <v>0</v>
      </c>
      <c r="AU95" s="896">
        <f t="shared" si="519"/>
        <v>0</v>
      </c>
      <c r="AV95" s="896">
        <f t="shared" si="520"/>
        <v>0</v>
      </c>
      <c r="AW95" s="896">
        <f t="shared" si="521"/>
        <v>0</v>
      </c>
      <c r="AY95" s="896">
        <f t="shared" si="522"/>
        <v>0</v>
      </c>
      <c r="AZ95" s="896">
        <f t="shared" si="523"/>
        <v>0</v>
      </c>
      <c r="BA95" s="896">
        <f t="shared" si="524"/>
        <v>0</v>
      </c>
      <c r="BB95" s="896">
        <f t="shared" si="525"/>
        <v>0</v>
      </c>
      <c r="BC95" s="896">
        <f t="shared" si="526"/>
        <v>0</v>
      </c>
      <c r="BD95" s="896">
        <f t="shared" si="527"/>
        <v>0</v>
      </c>
      <c r="BE95" s="896">
        <f t="shared" si="528"/>
        <v>0</v>
      </c>
      <c r="BG95" s="896">
        <f t="shared" si="529"/>
        <v>0</v>
      </c>
      <c r="BH95" s="896">
        <f t="shared" si="530"/>
        <v>0</v>
      </c>
      <c r="BI95" s="896">
        <f t="shared" si="531"/>
        <v>0</v>
      </c>
      <c r="BJ95" s="896">
        <f t="shared" si="532"/>
        <v>0</v>
      </c>
      <c r="BK95" s="898">
        <f t="shared" si="393"/>
        <v>0</v>
      </c>
      <c r="BL95" s="896">
        <f t="shared" si="533"/>
        <v>0</v>
      </c>
      <c r="BN95" s="896">
        <f t="shared" si="534"/>
        <v>0</v>
      </c>
      <c r="BO95" s="896">
        <f t="shared" si="535"/>
        <v>0</v>
      </c>
      <c r="BP95" s="896">
        <f t="shared" si="536"/>
        <v>0</v>
      </c>
      <c r="BQ95" s="896">
        <f t="shared" si="537"/>
        <v>0</v>
      </c>
      <c r="BR95" s="898">
        <f t="shared" si="394"/>
        <v>0</v>
      </c>
      <c r="BS95" s="896">
        <f t="shared" si="538"/>
        <v>0</v>
      </c>
    </row>
    <row r="96" spans="1:85" s="937" customFormat="1" ht="18" customHeight="1" x14ac:dyDescent="0.25">
      <c r="A96" s="926" t="s">
        <v>794</v>
      </c>
      <c r="B96" s="926" t="str">
        <f>'ADU-91'!B$3:E$3</f>
        <v>ER Electricité</v>
      </c>
      <c r="C96" s="927" t="str">
        <f>'ADU-91'!$B$8</f>
        <v>Exploitations agricoles</v>
      </c>
      <c r="D96" s="928" t="str">
        <f>'ADU-91'!$B$9</f>
        <v xml:space="preserve"> Centrale biogaz  - bétail</v>
      </c>
      <c r="E96" s="928" t="str">
        <f>'ADU-91'!$B$4</f>
        <v>Agriculture</v>
      </c>
      <c r="F96" s="928" t="str">
        <f>'ADU-91'!$B$12</f>
        <v>Agriculture</v>
      </c>
      <c r="G96" s="928" t="str">
        <f>'ADU-91'!$B$6</f>
        <v>Montage</v>
      </c>
      <c r="H96" s="929">
        <f>'ADU-91'!$B$17</f>
        <v>1042000</v>
      </c>
      <c r="I96" s="928" t="str">
        <f>'ADU-91'!$B$7</f>
        <v>Subs EU</v>
      </c>
      <c r="J96" s="929">
        <f>'ADU-91'!$B$18</f>
        <v>521000</v>
      </c>
      <c r="K96" s="929">
        <f>'ADU-91'!$B$21</f>
        <v>47723</v>
      </c>
      <c r="L96" s="929">
        <f>'ADU-91'!$B$22</f>
        <v>28899.000000000004</v>
      </c>
      <c r="M96" s="930">
        <f>'ADU-91'!$B$24</f>
        <v>6.7996136879747331</v>
      </c>
      <c r="N96" s="931">
        <f>'ADU-91'!$B$25</f>
        <v>338.62586727272731</v>
      </c>
      <c r="O96" s="932">
        <f t="shared" si="493"/>
        <v>0.64995367998604092</v>
      </c>
      <c r="P96" s="933" t="str">
        <f>'ADU-91'!$B$5</f>
        <v>A investiguer</v>
      </c>
      <c r="Q96" s="934">
        <f>'ADU-91'!$B$16</f>
        <v>2030</v>
      </c>
      <c r="R96" s="935" t="str">
        <f t="shared" si="492"/>
        <v/>
      </c>
      <c r="S96" s="936">
        <f t="shared" si="494"/>
        <v>0</v>
      </c>
      <c r="T96" s="936">
        <f t="shared" si="495"/>
        <v>0</v>
      </c>
      <c r="U96" s="936">
        <f t="shared" si="496"/>
        <v>0</v>
      </c>
      <c r="V96" s="936">
        <f t="shared" si="497"/>
        <v>0</v>
      </c>
      <c r="W96" s="936">
        <f t="shared" si="498"/>
        <v>0</v>
      </c>
      <c r="X96" s="936">
        <f t="shared" si="499"/>
        <v>0</v>
      </c>
      <c r="Y96" s="936">
        <f t="shared" si="500"/>
        <v>0</v>
      </c>
      <c r="AA96" s="936">
        <f t="shared" si="501"/>
        <v>0</v>
      </c>
      <c r="AB96" s="936">
        <f t="shared" si="502"/>
        <v>0</v>
      </c>
      <c r="AC96" s="936">
        <f t="shared" si="503"/>
        <v>0</v>
      </c>
      <c r="AD96" s="936">
        <f t="shared" si="504"/>
        <v>0</v>
      </c>
      <c r="AE96" s="936">
        <f t="shared" si="505"/>
        <v>0</v>
      </c>
      <c r="AF96" s="936">
        <f t="shared" si="506"/>
        <v>0</v>
      </c>
      <c r="AG96" s="936">
        <f t="shared" si="507"/>
        <v>0</v>
      </c>
      <c r="AI96" s="936">
        <f t="shared" si="508"/>
        <v>0</v>
      </c>
      <c r="AJ96" s="936">
        <f t="shared" si="509"/>
        <v>0</v>
      </c>
      <c r="AK96" s="936">
        <f t="shared" si="510"/>
        <v>0</v>
      </c>
      <c r="AL96" s="936">
        <f t="shared" si="511"/>
        <v>0</v>
      </c>
      <c r="AM96" s="936">
        <f t="shared" si="512"/>
        <v>0</v>
      </c>
      <c r="AN96" s="936">
        <f t="shared" si="513"/>
        <v>0</v>
      </c>
      <c r="AO96" s="936">
        <f t="shared" si="514"/>
        <v>0</v>
      </c>
      <c r="AQ96" s="936">
        <f t="shared" si="515"/>
        <v>0</v>
      </c>
      <c r="AR96" s="936">
        <f t="shared" si="516"/>
        <v>0</v>
      </c>
      <c r="AS96" s="936">
        <f t="shared" si="517"/>
        <v>0</v>
      </c>
      <c r="AT96" s="936">
        <f t="shared" si="518"/>
        <v>0</v>
      </c>
      <c r="AU96" s="936">
        <f t="shared" si="519"/>
        <v>0</v>
      </c>
      <c r="AV96" s="936">
        <f t="shared" si="520"/>
        <v>0</v>
      </c>
      <c r="AW96" s="936">
        <f t="shared" si="521"/>
        <v>0</v>
      </c>
      <c r="AY96" s="936">
        <f t="shared" si="522"/>
        <v>0</v>
      </c>
      <c r="AZ96" s="936">
        <f t="shared" si="523"/>
        <v>0</v>
      </c>
      <c r="BA96" s="936">
        <f t="shared" si="524"/>
        <v>0</v>
      </c>
      <c r="BB96" s="936">
        <f t="shared" si="525"/>
        <v>0</v>
      </c>
      <c r="BC96" s="936">
        <f t="shared" si="526"/>
        <v>0</v>
      </c>
      <c r="BD96" s="936">
        <f t="shared" si="527"/>
        <v>0</v>
      </c>
      <c r="BE96" s="936">
        <f t="shared" si="528"/>
        <v>0</v>
      </c>
      <c r="BG96" s="936">
        <f t="shared" si="529"/>
        <v>0</v>
      </c>
      <c r="BH96" s="936">
        <f t="shared" si="530"/>
        <v>0</v>
      </c>
      <c r="BI96" s="936">
        <f t="shared" si="531"/>
        <v>0</v>
      </c>
      <c r="BJ96" s="936">
        <f t="shared" si="532"/>
        <v>0</v>
      </c>
      <c r="BK96" s="938">
        <f t="shared" si="393"/>
        <v>0</v>
      </c>
      <c r="BL96" s="936">
        <f t="shared" si="533"/>
        <v>0</v>
      </c>
      <c r="BN96" s="936">
        <f t="shared" si="534"/>
        <v>0</v>
      </c>
      <c r="BO96" s="936">
        <f t="shared" si="535"/>
        <v>0</v>
      </c>
      <c r="BP96" s="936">
        <f t="shared" si="536"/>
        <v>0</v>
      </c>
      <c r="BQ96" s="936">
        <f t="shared" si="537"/>
        <v>0</v>
      </c>
      <c r="BR96" s="938">
        <f t="shared" si="394"/>
        <v>0</v>
      </c>
      <c r="BS96" s="936">
        <f t="shared" si="538"/>
        <v>0</v>
      </c>
    </row>
    <row r="97" spans="1:85" s="937" customFormat="1" ht="18" customHeight="1" x14ac:dyDescent="0.25">
      <c r="A97" s="926" t="s">
        <v>793</v>
      </c>
      <c r="B97" s="926" t="str">
        <f>'ADU-92'!B$3:E$3</f>
        <v>ER Electricité</v>
      </c>
      <c r="C97" s="927" t="str">
        <f>'ADU-92'!$B$8</f>
        <v>Exploitations agricoles</v>
      </c>
      <c r="D97" s="928" t="str">
        <f>'ADU-92'!$B$9</f>
        <v>Centrale biogaz - cultures dédiées</v>
      </c>
      <c r="E97" s="928" t="str">
        <f>'ADU-92'!$B$4</f>
        <v>Agriculture</v>
      </c>
      <c r="F97" s="928" t="str">
        <f>'ADU-92'!$B$12</f>
        <v>Agriculture</v>
      </c>
      <c r="G97" s="928" t="str">
        <f>'ADU-92'!$B$6</f>
        <v>Montage</v>
      </c>
      <c r="H97" s="929">
        <f>'ADU-92'!$B$17</f>
        <v>2084000</v>
      </c>
      <c r="I97" s="928" t="str">
        <f>'ADU-92'!$B$7</f>
        <v>Subs EU</v>
      </c>
      <c r="J97" s="929">
        <f>'ADU-92'!$B$18</f>
        <v>625200</v>
      </c>
      <c r="K97" s="929">
        <f>'ADU-92'!$B$21</f>
        <v>196214.95</v>
      </c>
      <c r="L97" s="929">
        <f>'ADU-92'!$B$22</f>
        <v>118819.35</v>
      </c>
      <c r="M97" s="930">
        <f>'ADU-92'!$B$24</f>
        <v>4.6306068894720349</v>
      </c>
      <c r="N97" s="931">
        <f>'ADU-92'!$B$25</f>
        <v>1392.2732773636365</v>
      </c>
      <c r="O97" s="932">
        <f t="shared" si="493"/>
        <v>0.95439626910038144</v>
      </c>
      <c r="P97" s="933" t="str">
        <f>'ADU-92'!$B$5</f>
        <v>A investiguer</v>
      </c>
      <c r="Q97" s="934">
        <f>'ADU-92'!$B$16</f>
        <v>2030</v>
      </c>
      <c r="R97" s="935" t="str">
        <f t="shared" si="492"/>
        <v/>
      </c>
      <c r="S97" s="936">
        <f t="shared" si="494"/>
        <v>0</v>
      </c>
      <c r="T97" s="936">
        <f t="shared" si="495"/>
        <v>0</v>
      </c>
      <c r="U97" s="936">
        <f t="shared" si="496"/>
        <v>0</v>
      </c>
      <c r="V97" s="936">
        <f t="shared" si="497"/>
        <v>0</v>
      </c>
      <c r="W97" s="936">
        <f t="shared" si="498"/>
        <v>0</v>
      </c>
      <c r="X97" s="936">
        <f t="shared" si="499"/>
        <v>0</v>
      </c>
      <c r="Y97" s="936">
        <f t="shared" si="500"/>
        <v>0</v>
      </c>
      <c r="AA97" s="936">
        <f t="shared" si="501"/>
        <v>0</v>
      </c>
      <c r="AB97" s="936">
        <f t="shared" si="502"/>
        <v>0</v>
      </c>
      <c r="AC97" s="936">
        <f t="shared" si="503"/>
        <v>0</v>
      </c>
      <c r="AD97" s="936">
        <f t="shared" si="504"/>
        <v>0</v>
      </c>
      <c r="AE97" s="936">
        <f t="shared" si="505"/>
        <v>0</v>
      </c>
      <c r="AF97" s="936">
        <f t="shared" si="506"/>
        <v>0</v>
      </c>
      <c r="AG97" s="936">
        <f t="shared" si="507"/>
        <v>0</v>
      </c>
      <c r="AI97" s="936">
        <f t="shared" si="508"/>
        <v>0</v>
      </c>
      <c r="AJ97" s="936">
        <f t="shared" si="509"/>
        <v>0</v>
      </c>
      <c r="AK97" s="936">
        <f t="shared" si="510"/>
        <v>0</v>
      </c>
      <c r="AL97" s="936">
        <f t="shared" si="511"/>
        <v>0</v>
      </c>
      <c r="AM97" s="936">
        <f t="shared" si="512"/>
        <v>0</v>
      </c>
      <c r="AN97" s="936">
        <f t="shared" si="513"/>
        <v>0</v>
      </c>
      <c r="AO97" s="936">
        <f t="shared" si="514"/>
        <v>0</v>
      </c>
      <c r="AQ97" s="936">
        <f t="shared" si="515"/>
        <v>0</v>
      </c>
      <c r="AR97" s="936">
        <f t="shared" si="516"/>
        <v>0</v>
      </c>
      <c r="AS97" s="936">
        <f t="shared" si="517"/>
        <v>0</v>
      </c>
      <c r="AT97" s="936">
        <f t="shared" si="518"/>
        <v>0</v>
      </c>
      <c r="AU97" s="936">
        <f t="shared" si="519"/>
        <v>0</v>
      </c>
      <c r="AV97" s="936">
        <f t="shared" si="520"/>
        <v>0</v>
      </c>
      <c r="AW97" s="936">
        <f t="shared" si="521"/>
        <v>0</v>
      </c>
      <c r="AY97" s="936">
        <f t="shared" si="522"/>
        <v>0</v>
      </c>
      <c r="AZ97" s="936">
        <f t="shared" si="523"/>
        <v>0</v>
      </c>
      <c r="BA97" s="936">
        <f t="shared" si="524"/>
        <v>0</v>
      </c>
      <c r="BB97" s="936">
        <f t="shared" si="525"/>
        <v>0</v>
      </c>
      <c r="BC97" s="936">
        <f t="shared" si="526"/>
        <v>0</v>
      </c>
      <c r="BD97" s="936">
        <f t="shared" si="527"/>
        <v>0</v>
      </c>
      <c r="BE97" s="936">
        <f t="shared" si="528"/>
        <v>0</v>
      </c>
      <c r="BG97" s="936">
        <f t="shared" si="529"/>
        <v>0</v>
      </c>
      <c r="BH97" s="936">
        <f t="shared" si="530"/>
        <v>0</v>
      </c>
      <c r="BI97" s="936">
        <f t="shared" si="531"/>
        <v>0</v>
      </c>
      <c r="BJ97" s="936">
        <f t="shared" si="532"/>
        <v>0</v>
      </c>
      <c r="BK97" s="938">
        <f t="shared" si="393"/>
        <v>0</v>
      </c>
      <c r="BL97" s="936">
        <f t="shared" si="533"/>
        <v>0</v>
      </c>
      <c r="BN97" s="936">
        <f t="shared" si="534"/>
        <v>0</v>
      </c>
      <c r="BO97" s="936">
        <f t="shared" si="535"/>
        <v>0</v>
      </c>
      <c r="BP97" s="936">
        <f t="shared" si="536"/>
        <v>0</v>
      </c>
      <c r="BQ97" s="936">
        <f t="shared" si="537"/>
        <v>0</v>
      </c>
      <c r="BR97" s="938">
        <f t="shared" si="394"/>
        <v>0</v>
      </c>
      <c r="BS97" s="936">
        <f t="shared" si="538"/>
        <v>0</v>
      </c>
    </row>
    <row r="98" spans="1:85" s="897" customFormat="1" ht="18" customHeight="1" x14ac:dyDescent="0.25">
      <c r="A98" s="886" t="s">
        <v>902</v>
      </c>
      <c r="B98" s="886" t="str">
        <f>'ADU-93'!B$3:E$3</f>
        <v>ER Electricité</v>
      </c>
      <c r="C98" s="887" t="str">
        <f>'ADU-93'!$B$8</f>
        <v xml:space="preserve">Déchets </v>
      </c>
      <c r="D98" s="888" t="str">
        <f>'ADU-93'!$B$9</f>
        <v>Part biogaz IDELUX</v>
      </c>
      <c r="E98" s="888" t="str">
        <f>'ADU-93'!$B$4</f>
        <v>Territoire</v>
      </c>
      <c r="F98" s="888" t="str">
        <f>'ADU-93'!$B$12</f>
        <v>IDELUX</v>
      </c>
      <c r="G98" s="888" t="str">
        <f>'ADU-93'!$B$6</f>
        <v>Montage</v>
      </c>
      <c r="H98" s="889">
        <f>'ADU-93'!$B$17</f>
        <v>0</v>
      </c>
      <c r="I98" s="888" t="str">
        <f>'ADU-93'!$B$7</f>
        <v>Subs EU</v>
      </c>
      <c r="J98" s="889">
        <f>'ADU-93'!$B$18</f>
        <v>0</v>
      </c>
      <c r="K98" s="889">
        <f>'ADU-93'!$B$21</f>
        <v>66485.759999999995</v>
      </c>
      <c r="L98" s="889">
        <f>'ADU-93'!$B$22</f>
        <v>18006.560000000001</v>
      </c>
      <c r="M98" s="890">
        <f>'ADU-93'!$B$24</f>
        <v>0</v>
      </c>
      <c r="N98" s="891">
        <f>'ADU-93'!$B$25</f>
        <v>359.76171339999996</v>
      </c>
      <c r="O98" s="892">
        <f>IF(H98=0,0,N98/(H98-J98)*1000)</f>
        <v>0</v>
      </c>
      <c r="P98" s="893" t="str">
        <f>'ADU-93'!$B$5</f>
        <v>Terminé</v>
      </c>
      <c r="Q98" s="894">
        <f>'ADU-93'!$B$16</f>
        <v>2008</v>
      </c>
      <c r="R98" s="895">
        <f>IF(P98="terminé", N98,"")</f>
        <v>359.76171339999996</v>
      </c>
      <c r="S98" s="896">
        <f>IF((P98="Terminé")*AND(E98="Territoire"),N98,0)</f>
        <v>359.76171339999996</v>
      </c>
      <c r="T98" s="896">
        <f>IF((P98="Terminé")*AND(E98="Agriculture"),N98,0)</f>
        <v>0</v>
      </c>
      <c r="U98" s="896">
        <f>IF((P98="Terminé")*AND(E98="Industrie"), N98,0)</f>
        <v>0</v>
      </c>
      <c r="V98" s="896">
        <f>IF((P98="Terminé")*AND(E98="Logement"),N98,0)</f>
        <v>0</v>
      </c>
      <c r="W98" s="896">
        <f>IF((P98="Terminé")*AND(E98="Tertiaire"),N98,0)</f>
        <v>0</v>
      </c>
      <c r="X98" s="896">
        <f>IF((P98="Terminé")*AND(E98="Transport"),N98,0)</f>
        <v>0</v>
      </c>
      <c r="Y98" s="896">
        <f>IF((P98="Terminé")*AND(E98="Communal"),N98,0)</f>
        <v>0</v>
      </c>
      <c r="AA98" s="896">
        <f>IF((P98="Terminé")*AND(E98="Territoire"),H98,0)</f>
        <v>0</v>
      </c>
      <c r="AB98" s="896">
        <f>IF((P98="Terminé")*AND(E98="Agriculture"),H98,0)</f>
        <v>0</v>
      </c>
      <c r="AC98" s="896">
        <f>IF((P98="Terminé")*AND(E98="Industrie"), H98,0)</f>
        <v>0</v>
      </c>
      <c r="AD98" s="896">
        <f>IF((P98="Terminé")*AND(E98="Logement"), H98,0)</f>
        <v>0</v>
      </c>
      <c r="AE98" s="896">
        <f>IF((P98="Terminé")*AND(E98="Tertiaire"),H98,0)</f>
        <v>0</v>
      </c>
      <c r="AF98" s="896">
        <f>IF((P98="Terminé")*AND(E98="Transport"),H98,0)</f>
        <v>0</v>
      </c>
      <c r="AG98" s="896">
        <f>IF((P98="Terminé")*AND(E98="Communal"),H98,0)</f>
        <v>0</v>
      </c>
      <c r="AI98" s="896">
        <f>IF((P98="Terminé")*AND(E98="Territoire"),J98,0)</f>
        <v>0</v>
      </c>
      <c r="AJ98" s="896">
        <f>IF((P98="Terminé")*AND(E98="Agriculture"),J98,0)</f>
        <v>0</v>
      </c>
      <c r="AK98" s="896">
        <f>IF((P98="Terminé")*AND(E98="Industrie"), J98,0)</f>
        <v>0</v>
      </c>
      <c r="AL98" s="896">
        <f>IF((P98="Terminé")*AND(E98="Logement"), J98,0)</f>
        <v>0</v>
      </c>
      <c r="AM98" s="896">
        <f>IF((P98="Terminé")*AND(E98="Tertiaire"),J98,0)</f>
        <v>0</v>
      </c>
      <c r="AN98" s="896">
        <f>IF((P98="Terminé")*AND(E98="Transport"),J98,0)</f>
        <v>0</v>
      </c>
      <c r="AO98" s="896">
        <f>IF((P98="Terminé")*AND(E98="Communal"),J98,0)</f>
        <v>0</v>
      </c>
      <c r="AQ98" s="896">
        <f>IF((P98="Terminé")*AND(E98="Territoire"),K98,0)</f>
        <v>66485.759999999995</v>
      </c>
      <c r="AR98" s="896">
        <f>IF((P98="Terminé")*AND(E98="Agriculture"),K98,0)</f>
        <v>0</v>
      </c>
      <c r="AS98" s="896">
        <f>IF((P98="Terminé")*AND(E98="Industrie"), K98,0)</f>
        <v>0</v>
      </c>
      <c r="AT98" s="896">
        <f>IF((P98="Terminé")*AND(E98="Logement"), K98,0)</f>
        <v>0</v>
      </c>
      <c r="AU98" s="896">
        <f>IF((P98="Terminé")*AND(E98="Tertiaire"),K98,0)</f>
        <v>0</v>
      </c>
      <c r="AV98" s="896">
        <f>IF((P98="Terminé")*AND(E98="Transport"),K98,0)</f>
        <v>0</v>
      </c>
      <c r="AW98" s="896">
        <f>IF((P98="Terminé")*AND(E98="Communal"),K98,0)</f>
        <v>0</v>
      </c>
      <c r="AY98" s="896">
        <f>IF((P98="Terminé")*AND(E98="Territoire"),L98,0)</f>
        <v>18006.560000000001</v>
      </c>
      <c r="AZ98" s="896">
        <f>IF((P98="Terminé")*AND(E98="Agriculture"),L98,0)</f>
        <v>0</v>
      </c>
      <c r="BA98" s="896">
        <f>IF((P98="Terminé")*AND(E98="Industrie"), L98,0)</f>
        <v>0</v>
      </c>
      <c r="BB98" s="896">
        <f>IF((P98="Terminé")*AND(E98="Logement"), L98,0)</f>
        <v>0</v>
      </c>
      <c r="BC98" s="896">
        <f>IF((P98="Terminé")*AND(E98="Tertiaire"),L98,0)</f>
        <v>0</v>
      </c>
      <c r="BD98" s="896">
        <f>IF((P98="Terminé")*AND(E98="Transport"),L98,0)</f>
        <v>0</v>
      </c>
      <c r="BE98" s="896">
        <f>IF((P98="Terminé")*AND(E98="Communal"),L98,0)</f>
        <v>0</v>
      </c>
      <c r="BG98" s="896">
        <f>IF((P98="Terminé")*AND(F98="Agriculture"),H98,0)</f>
        <v>0</v>
      </c>
      <c r="BH98" s="896">
        <f>IF((P98="Terminé")*AND(F98="Industrie"),H98,0)</f>
        <v>0</v>
      </c>
      <c r="BI98" s="896">
        <f>IF((P98="Terminé")*AND(F98="Citoyen"), H98,0)</f>
        <v>0</v>
      </c>
      <c r="BJ98" s="896">
        <f>IF((P98="Terminé")*AND(F98="IDELUX"), H98,0)</f>
        <v>0</v>
      </c>
      <c r="BK98" s="898">
        <f t="shared" si="393"/>
        <v>0</v>
      </c>
      <c r="BL98" s="896">
        <f>IF((P98="Terminé")*AND(F98="Tertiaire"),H98,0)</f>
        <v>0</v>
      </c>
      <c r="BN98" s="896">
        <f>IF((P98="Terminé")*AND(F98="Agriculture"),J98,0)</f>
        <v>0</v>
      </c>
      <c r="BO98" s="896">
        <f>IF((P98="Terminé")*AND(F98="Industrie"),J98,0)</f>
        <v>0</v>
      </c>
      <c r="BP98" s="896">
        <f>IF((P98="Terminé")*AND(F98="Citoyen"), J98,0)</f>
        <v>0</v>
      </c>
      <c r="BQ98" s="896">
        <f>IF((P98="Terminé")*AND(F98="IDELUX"), J98,0)</f>
        <v>0</v>
      </c>
      <c r="BR98" s="898">
        <f t="shared" si="394"/>
        <v>0</v>
      </c>
      <c r="BS98" s="896">
        <f>IF((P98="Terminé")*AND(F98="Tertiaire"),J98,0)</f>
        <v>0</v>
      </c>
    </row>
    <row r="99" spans="1:85" s="897" customFormat="1" ht="18" customHeight="1" x14ac:dyDescent="0.25">
      <c r="A99" s="886" t="s">
        <v>903</v>
      </c>
      <c r="B99" s="886" t="str">
        <f>'ADU-94'!B$3:E$3</f>
        <v>ER Electricité</v>
      </c>
      <c r="C99" s="887" t="str">
        <f>'ADU-94'!$B$8</f>
        <v>Cogénération</v>
      </c>
      <c r="D99" s="888" t="str">
        <f>'ADU-94'!$B$9</f>
        <v>Cogénération CORA</v>
      </c>
      <c r="E99" s="888" t="str">
        <f>'ADU-94'!$B$4</f>
        <v>Tertiaire</v>
      </c>
      <c r="F99" s="888" t="str">
        <f>'ADU-94'!$B$12</f>
        <v>Tertiaire</v>
      </c>
      <c r="G99" s="888" t="str">
        <f>'ADU-94'!$B$6</f>
        <v>1/3 invest</v>
      </c>
      <c r="H99" s="889">
        <f>'ADU-94'!$B$17</f>
        <v>300000</v>
      </c>
      <c r="I99" s="888" t="str">
        <f>'ADU-94'!$B$7</f>
        <v>Subs RW</v>
      </c>
      <c r="J99" s="889">
        <f>'ADU-94'!$B$18</f>
        <v>90000</v>
      </c>
      <c r="K99" s="889">
        <f>'ADU-94'!$B$21</f>
        <v>235928.69999999998</v>
      </c>
      <c r="L99" s="889">
        <f>'ADU-94'!$B$22</f>
        <v>0</v>
      </c>
      <c r="M99" s="890">
        <f>'ADU-94'!$B$24</f>
        <v>0.89009942410567267</v>
      </c>
      <c r="N99" s="891">
        <f>'ADU-94'!$B$25</f>
        <v>795.03375886363642</v>
      </c>
      <c r="O99" s="892">
        <f t="shared" ref="O99:O100" si="539">IF(H99=0,0,N99/(H99-J99)*1000)</f>
        <v>3.7858750422077927</v>
      </c>
      <c r="P99" s="893" t="str">
        <f>'ADU-94'!$B$5</f>
        <v>Terminé</v>
      </c>
      <c r="Q99" s="894">
        <f>'ADU-94'!$B$16</f>
        <v>2017</v>
      </c>
      <c r="R99" s="895">
        <f t="shared" ref="R99:R100" si="540">IF(P99="terminé", N99,"")</f>
        <v>795.03375886363642</v>
      </c>
      <c r="S99" s="896">
        <f t="shared" ref="S99:S100" si="541">IF((P99="Terminé")*AND(E99="Territoire"),N99,0)</f>
        <v>0</v>
      </c>
      <c r="T99" s="896">
        <f t="shared" ref="T99:T100" si="542">IF((P99="Terminé")*AND(E99="Agriculture"),N99,0)</f>
        <v>0</v>
      </c>
      <c r="U99" s="896">
        <f t="shared" ref="U99:U100" si="543">IF((P99="Terminé")*AND(E99="Industrie"), N99,0)</f>
        <v>0</v>
      </c>
      <c r="V99" s="896">
        <f t="shared" ref="V99:V100" si="544">IF((P99="Terminé")*AND(E99="Logement"),N99,0)</f>
        <v>0</v>
      </c>
      <c r="W99" s="896">
        <f t="shared" ref="W99:W100" si="545">IF((P99="Terminé")*AND(E99="Tertiaire"),N99,0)</f>
        <v>795.03375886363642</v>
      </c>
      <c r="X99" s="896">
        <f t="shared" ref="X99:X100" si="546">IF((P99="Terminé")*AND(E99="Transport"),N99,0)</f>
        <v>0</v>
      </c>
      <c r="Y99" s="896">
        <f t="shared" ref="Y99:Y100" si="547">IF((P99="Terminé")*AND(E99="Communal"),N99,0)</f>
        <v>0</v>
      </c>
      <c r="AA99" s="896">
        <f t="shared" ref="AA99:AA100" si="548">IF((P99="Terminé")*AND(E99="Territoire"),H99,0)</f>
        <v>0</v>
      </c>
      <c r="AB99" s="896">
        <f t="shared" ref="AB99:AB100" si="549">IF((P99="Terminé")*AND(E99="Agriculture"),H99,0)</f>
        <v>0</v>
      </c>
      <c r="AC99" s="896">
        <f t="shared" ref="AC99:AC100" si="550">IF((P99="Terminé")*AND(E99="Industrie"), H99,0)</f>
        <v>0</v>
      </c>
      <c r="AD99" s="896">
        <f t="shared" ref="AD99:AD100" si="551">IF((P99="Terminé")*AND(E99="Logement"), H99,0)</f>
        <v>0</v>
      </c>
      <c r="AE99" s="896">
        <f t="shared" ref="AE99:AE100" si="552">IF((P99="Terminé")*AND(E99="Tertiaire"),H99,0)</f>
        <v>300000</v>
      </c>
      <c r="AF99" s="896">
        <f t="shared" ref="AF99:AF100" si="553">IF((P99="Terminé")*AND(E99="Transport"),H99,0)</f>
        <v>0</v>
      </c>
      <c r="AG99" s="896">
        <f t="shared" ref="AG99:AG100" si="554">IF((P99="Terminé")*AND(E99="Communal"),H99,0)</f>
        <v>0</v>
      </c>
      <c r="AI99" s="896">
        <f t="shared" ref="AI99:AI100" si="555">IF((P99="Terminé")*AND(E99="Territoire"),J99,0)</f>
        <v>0</v>
      </c>
      <c r="AJ99" s="896">
        <f t="shared" ref="AJ99:AJ100" si="556">IF((P99="Terminé")*AND(E99="Agriculture"),J99,0)</f>
        <v>0</v>
      </c>
      <c r="AK99" s="896">
        <f t="shared" ref="AK99:AK100" si="557">IF((P99="Terminé")*AND(E99="Industrie"), J99,0)</f>
        <v>0</v>
      </c>
      <c r="AL99" s="896">
        <f t="shared" ref="AL99:AL100" si="558">IF((P99="Terminé")*AND(E99="Logement"), J99,0)</f>
        <v>0</v>
      </c>
      <c r="AM99" s="896">
        <f t="shared" ref="AM99:AM100" si="559">IF((P99="Terminé")*AND(E99="Tertiaire"),J99,0)</f>
        <v>90000</v>
      </c>
      <c r="AN99" s="896">
        <f t="shared" ref="AN99:AN100" si="560">IF((P99="Terminé")*AND(E99="Transport"),J99,0)</f>
        <v>0</v>
      </c>
      <c r="AO99" s="896">
        <f t="shared" ref="AO99:AO100" si="561">IF((P99="Terminé")*AND(E99="Communal"),J99,0)</f>
        <v>0</v>
      </c>
      <c r="AQ99" s="896">
        <f t="shared" ref="AQ99:AQ100" si="562">IF((P99="Terminé")*AND(E99="Territoire"),K99,0)</f>
        <v>0</v>
      </c>
      <c r="AR99" s="896">
        <f t="shared" ref="AR99:AR100" si="563">IF((P99="Terminé")*AND(E99="Agriculture"),K99,0)</f>
        <v>0</v>
      </c>
      <c r="AS99" s="896">
        <f t="shared" ref="AS99:AS100" si="564">IF((P99="Terminé")*AND(E99="Industrie"), K99,0)</f>
        <v>0</v>
      </c>
      <c r="AT99" s="896">
        <f t="shared" ref="AT99:AT100" si="565">IF((P99="Terminé")*AND(E99="Logement"), K99,0)</f>
        <v>0</v>
      </c>
      <c r="AU99" s="896">
        <f t="shared" ref="AU99:AU100" si="566">IF((P99="Terminé")*AND(E99="Tertiaire"),K99,0)</f>
        <v>235928.69999999998</v>
      </c>
      <c r="AV99" s="896">
        <f t="shared" ref="AV99:AV100" si="567">IF((P99="Terminé")*AND(E99="Transport"),K99,0)</f>
        <v>0</v>
      </c>
      <c r="AW99" s="896">
        <f t="shared" ref="AW99:AW100" si="568">IF((P99="Terminé")*AND(E99="Communal"),K99,0)</f>
        <v>0</v>
      </c>
      <c r="AY99" s="896">
        <f t="shared" ref="AY99:AY100" si="569">IF((P99="Terminé")*AND(E99="Territoire"),L99,0)</f>
        <v>0</v>
      </c>
      <c r="AZ99" s="896">
        <f t="shared" ref="AZ99:AZ100" si="570">IF((P99="Terminé")*AND(E99="Agriculture"),L99,0)</f>
        <v>0</v>
      </c>
      <c r="BA99" s="896">
        <f t="shared" ref="BA99:BA100" si="571">IF((P99="Terminé")*AND(E99="Industrie"), L99,0)</f>
        <v>0</v>
      </c>
      <c r="BB99" s="896">
        <f t="shared" ref="BB99:BB100" si="572">IF((P99="Terminé")*AND(E99="Logement"), L99,0)</f>
        <v>0</v>
      </c>
      <c r="BC99" s="896">
        <f t="shared" ref="BC99:BC100" si="573">IF((P99="Terminé")*AND(E99="Tertiaire"),L99,0)</f>
        <v>0</v>
      </c>
      <c r="BD99" s="896">
        <f t="shared" ref="BD99:BD100" si="574">IF((P99="Terminé")*AND(E99="Transport"),L99,0)</f>
        <v>0</v>
      </c>
      <c r="BE99" s="896">
        <f t="shared" ref="BE99:BE100" si="575">IF((P99="Terminé")*AND(E99="Communal"),L99,0)</f>
        <v>0</v>
      </c>
      <c r="BG99" s="896">
        <f t="shared" ref="BG99:BG100" si="576">IF((P99="Terminé")*AND(F99="Agriculture"),H99,0)</f>
        <v>0</v>
      </c>
      <c r="BH99" s="896">
        <f t="shared" ref="BH99:BH100" si="577">IF((P99="Terminé")*AND(F99="Industrie"),H99,0)</f>
        <v>0</v>
      </c>
      <c r="BI99" s="896">
        <f t="shared" ref="BI99:BI100" si="578">IF((P99="Terminé")*AND(F99="Citoyen"), H99,0)</f>
        <v>0</v>
      </c>
      <c r="BJ99" s="896">
        <f t="shared" ref="BJ99:BJ100" si="579">IF((P99="Terminé")*AND(F99="IDELUX"), H99,0)</f>
        <v>0</v>
      </c>
      <c r="BK99" s="898">
        <f t="shared" si="393"/>
        <v>0</v>
      </c>
      <c r="BL99" s="896">
        <f t="shared" ref="BL99:BL100" si="580">IF((P99="Terminé")*AND(F99="Tertiaire"),H99,0)</f>
        <v>300000</v>
      </c>
      <c r="BN99" s="896">
        <f t="shared" ref="BN99:BN100" si="581">IF((P99="Terminé")*AND(F99="Agriculture"),J99,0)</f>
        <v>0</v>
      </c>
      <c r="BO99" s="896">
        <f t="shared" ref="BO99:BO100" si="582">IF((P99="Terminé")*AND(F99="Industrie"),J99,0)</f>
        <v>0</v>
      </c>
      <c r="BP99" s="896">
        <f t="shared" ref="BP99:BP100" si="583">IF((P99="Terminé")*AND(F99="Citoyen"), J99,0)</f>
        <v>0</v>
      </c>
      <c r="BQ99" s="896">
        <f t="shared" ref="BQ99:BQ100" si="584">IF((P99="Terminé")*AND(F99="IDELUX"), J99,0)</f>
        <v>0</v>
      </c>
      <c r="BR99" s="898">
        <f t="shared" si="394"/>
        <v>0</v>
      </c>
      <c r="BS99" s="896">
        <f t="shared" ref="BS99:BS100" si="585">IF((P99="Terminé")*AND(F99="Tertiaire"),J99,0)</f>
        <v>90000</v>
      </c>
    </row>
    <row r="100" spans="1:85" s="845" customFormat="1" ht="18" customHeight="1" x14ac:dyDescent="0.25">
      <c r="A100" s="834" t="s">
        <v>904</v>
      </c>
      <c r="B100" s="834" t="str">
        <f>'ADU-95'!B$3:E$3</f>
        <v>ER Electricité</v>
      </c>
      <c r="C100" s="835">
        <f>'ADU-95'!$B$8</f>
        <v>0</v>
      </c>
      <c r="D100" s="836">
        <f>'ADU-95'!$B$9</f>
        <v>0</v>
      </c>
      <c r="E100" s="836" t="str">
        <f>'ADU-95'!$B$4</f>
        <v>Territoire</v>
      </c>
      <c r="F100" s="836">
        <f>'ADU-95'!$B$12</f>
        <v>0</v>
      </c>
      <c r="G100" s="836" t="str">
        <f>'ADU-95'!$B$6</f>
        <v>Néant</v>
      </c>
      <c r="H100" s="837">
        <f>'ADU-95'!$B$17</f>
        <v>0</v>
      </c>
      <c r="I100" s="836" t="str">
        <f>'ADU-95'!$B$7</f>
        <v>Néant</v>
      </c>
      <c r="J100" s="837">
        <f>'ADU-95'!$B$18</f>
        <v>0</v>
      </c>
      <c r="K100" s="837">
        <f>'ADU-95'!$B$21</f>
        <v>0</v>
      </c>
      <c r="L100" s="837">
        <f>'ADU-95'!$B$22</f>
        <v>0</v>
      </c>
      <c r="M100" s="838" t="e">
        <f>'ADU-95'!$B$24</f>
        <v>#DIV/0!</v>
      </c>
      <c r="N100" s="839">
        <f>'ADU-95'!$B$25</f>
        <v>0</v>
      </c>
      <c r="O100" s="840">
        <f t="shared" si="539"/>
        <v>0</v>
      </c>
      <c r="P100" s="841" t="str">
        <f>'ADU-95'!$B$5</f>
        <v>Ne pas réaliser</v>
      </c>
      <c r="Q100" s="842">
        <f>'ADU-95'!$B$16</f>
        <v>0</v>
      </c>
      <c r="R100" s="843" t="str">
        <f t="shared" si="540"/>
        <v/>
      </c>
      <c r="S100" s="844">
        <f t="shared" si="541"/>
        <v>0</v>
      </c>
      <c r="T100" s="844">
        <f t="shared" si="542"/>
        <v>0</v>
      </c>
      <c r="U100" s="844">
        <f t="shared" si="543"/>
        <v>0</v>
      </c>
      <c r="V100" s="844">
        <f t="shared" si="544"/>
        <v>0</v>
      </c>
      <c r="W100" s="844">
        <f t="shared" si="545"/>
        <v>0</v>
      </c>
      <c r="X100" s="844">
        <f t="shared" si="546"/>
        <v>0</v>
      </c>
      <c r="Y100" s="844">
        <f t="shared" si="547"/>
        <v>0</v>
      </c>
      <c r="AA100" s="844">
        <f t="shared" si="548"/>
        <v>0</v>
      </c>
      <c r="AB100" s="844">
        <f t="shared" si="549"/>
        <v>0</v>
      </c>
      <c r="AC100" s="844">
        <f t="shared" si="550"/>
        <v>0</v>
      </c>
      <c r="AD100" s="844">
        <f t="shared" si="551"/>
        <v>0</v>
      </c>
      <c r="AE100" s="844">
        <f t="shared" si="552"/>
        <v>0</v>
      </c>
      <c r="AF100" s="844">
        <f t="shared" si="553"/>
        <v>0</v>
      </c>
      <c r="AG100" s="844">
        <f t="shared" si="554"/>
        <v>0</v>
      </c>
      <c r="AI100" s="844">
        <f t="shared" si="555"/>
        <v>0</v>
      </c>
      <c r="AJ100" s="844">
        <f t="shared" si="556"/>
        <v>0</v>
      </c>
      <c r="AK100" s="844">
        <f t="shared" si="557"/>
        <v>0</v>
      </c>
      <c r="AL100" s="844">
        <f t="shared" si="558"/>
        <v>0</v>
      </c>
      <c r="AM100" s="844">
        <f t="shared" si="559"/>
        <v>0</v>
      </c>
      <c r="AN100" s="844">
        <f t="shared" si="560"/>
        <v>0</v>
      </c>
      <c r="AO100" s="844">
        <f t="shared" si="561"/>
        <v>0</v>
      </c>
      <c r="AQ100" s="844">
        <f t="shared" si="562"/>
        <v>0</v>
      </c>
      <c r="AR100" s="844">
        <f t="shared" si="563"/>
        <v>0</v>
      </c>
      <c r="AS100" s="844">
        <f t="shared" si="564"/>
        <v>0</v>
      </c>
      <c r="AT100" s="844">
        <f t="shared" si="565"/>
        <v>0</v>
      </c>
      <c r="AU100" s="844">
        <f t="shared" si="566"/>
        <v>0</v>
      </c>
      <c r="AV100" s="844">
        <f t="shared" si="567"/>
        <v>0</v>
      </c>
      <c r="AW100" s="844">
        <f t="shared" si="568"/>
        <v>0</v>
      </c>
      <c r="AY100" s="844">
        <f t="shared" si="569"/>
        <v>0</v>
      </c>
      <c r="AZ100" s="844">
        <f t="shared" si="570"/>
        <v>0</v>
      </c>
      <c r="BA100" s="844">
        <f t="shared" si="571"/>
        <v>0</v>
      </c>
      <c r="BB100" s="844">
        <f t="shared" si="572"/>
        <v>0</v>
      </c>
      <c r="BC100" s="844">
        <f t="shared" si="573"/>
        <v>0</v>
      </c>
      <c r="BD100" s="844">
        <f t="shared" si="574"/>
        <v>0</v>
      </c>
      <c r="BE100" s="844">
        <f t="shared" si="575"/>
        <v>0</v>
      </c>
      <c r="BG100" s="844">
        <f t="shared" si="576"/>
        <v>0</v>
      </c>
      <c r="BH100" s="844">
        <f t="shared" si="577"/>
        <v>0</v>
      </c>
      <c r="BI100" s="844">
        <f t="shared" si="578"/>
        <v>0</v>
      </c>
      <c r="BJ100" s="844">
        <f t="shared" si="579"/>
        <v>0</v>
      </c>
      <c r="BK100" s="846">
        <f t="shared" si="393"/>
        <v>0</v>
      </c>
      <c r="BL100" s="844">
        <f t="shared" si="580"/>
        <v>0</v>
      </c>
      <c r="BN100" s="844">
        <f t="shared" si="581"/>
        <v>0</v>
      </c>
      <c r="BO100" s="844">
        <f t="shared" si="582"/>
        <v>0</v>
      </c>
      <c r="BP100" s="844">
        <f t="shared" si="583"/>
        <v>0</v>
      </c>
      <c r="BQ100" s="844">
        <f t="shared" si="584"/>
        <v>0</v>
      </c>
      <c r="BR100" s="846">
        <f t="shared" si="394"/>
        <v>0</v>
      </c>
      <c r="BS100" s="844">
        <f t="shared" si="585"/>
        <v>0</v>
      </c>
    </row>
    <row r="101" spans="1:85" s="924" customFormat="1" ht="18" customHeight="1" x14ac:dyDescent="0.25">
      <c r="A101" s="913" t="s">
        <v>792</v>
      </c>
      <c r="B101" s="913" t="str">
        <f>'ADU-100'!B$3:E$3</f>
        <v>ER Chaleur</v>
      </c>
      <c r="C101" s="914" t="str">
        <f>'ADU-100'!$B$8</f>
        <v>Solaire thermique</v>
      </c>
      <c r="D101" s="915" t="str">
        <f>'ADU-100'!$B$9</f>
        <v>Installation solaires thermiques existantes</v>
      </c>
      <c r="E101" s="915" t="str">
        <f>'ADU-100'!$B$4</f>
        <v>Logement</v>
      </c>
      <c r="F101" s="915" t="str">
        <f>'ADU-100'!$B$12</f>
        <v>Citoyen</v>
      </c>
      <c r="G101" s="915" t="str">
        <f>'ADU-100'!$B$6</f>
        <v>Fonds propres</v>
      </c>
      <c r="H101" s="916">
        <f>'ADU-100'!$B$17</f>
        <v>90000</v>
      </c>
      <c r="I101" s="915" t="str">
        <f>'ADU-100'!$B$7</f>
        <v>Primes RW</v>
      </c>
      <c r="J101" s="916">
        <f>'ADU-100'!$B$18</f>
        <v>20000</v>
      </c>
      <c r="K101" s="916">
        <f>'ADU-100'!$B$21</f>
        <v>225</v>
      </c>
      <c r="L101" s="916">
        <f>'ADU-100'!$B$22</f>
        <v>0</v>
      </c>
      <c r="M101" s="917">
        <f>'ADU-100'!$B$24</f>
        <v>311.11111111111109</v>
      </c>
      <c r="N101" s="918">
        <f>'ADU-100'!$B$25</f>
        <v>14.064407999999998</v>
      </c>
      <c r="O101" s="919">
        <f t="shared" si="493"/>
        <v>0.20092011428571427</v>
      </c>
      <c r="P101" s="920" t="str">
        <f>'ADU-100'!$B$5</f>
        <v>Terminé</v>
      </c>
      <c r="Q101" s="921">
        <f>'ADU-100'!$B$16</f>
        <v>2014</v>
      </c>
      <c r="R101" s="922">
        <f t="shared" si="492"/>
        <v>14.064407999999998</v>
      </c>
      <c r="S101" s="923">
        <f t="shared" si="494"/>
        <v>0</v>
      </c>
      <c r="T101" s="923">
        <f t="shared" si="495"/>
        <v>0</v>
      </c>
      <c r="U101" s="923">
        <f t="shared" si="496"/>
        <v>0</v>
      </c>
      <c r="V101" s="923">
        <f t="shared" si="497"/>
        <v>14.064407999999998</v>
      </c>
      <c r="W101" s="923">
        <f t="shared" si="498"/>
        <v>0</v>
      </c>
      <c r="X101" s="923">
        <f t="shared" si="499"/>
        <v>0</v>
      </c>
      <c r="Y101" s="923">
        <f t="shared" si="500"/>
        <v>0</v>
      </c>
      <c r="AA101" s="923">
        <f t="shared" si="501"/>
        <v>0</v>
      </c>
      <c r="AB101" s="923">
        <f t="shared" si="502"/>
        <v>0</v>
      </c>
      <c r="AC101" s="923">
        <f t="shared" si="503"/>
        <v>0</v>
      </c>
      <c r="AD101" s="923">
        <f t="shared" si="504"/>
        <v>90000</v>
      </c>
      <c r="AE101" s="923">
        <f t="shared" si="505"/>
        <v>0</v>
      </c>
      <c r="AF101" s="923">
        <f t="shared" si="506"/>
        <v>0</v>
      </c>
      <c r="AG101" s="923">
        <f t="shared" si="507"/>
        <v>0</v>
      </c>
      <c r="AI101" s="923">
        <f t="shared" si="508"/>
        <v>0</v>
      </c>
      <c r="AJ101" s="923">
        <f t="shared" si="509"/>
        <v>0</v>
      </c>
      <c r="AK101" s="923">
        <f t="shared" si="510"/>
        <v>0</v>
      </c>
      <c r="AL101" s="923">
        <f t="shared" si="511"/>
        <v>20000</v>
      </c>
      <c r="AM101" s="923">
        <f t="shared" si="512"/>
        <v>0</v>
      </c>
      <c r="AN101" s="923">
        <f t="shared" si="513"/>
        <v>0</v>
      </c>
      <c r="AO101" s="923">
        <f t="shared" si="514"/>
        <v>0</v>
      </c>
      <c r="AQ101" s="923">
        <f t="shared" si="515"/>
        <v>0</v>
      </c>
      <c r="AR101" s="923">
        <f t="shared" si="516"/>
        <v>0</v>
      </c>
      <c r="AS101" s="923">
        <f t="shared" si="517"/>
        <v>0</v>
      </c>
      <c r="AT101" s="923">
        <f t="shared" si="518"/>
        <v>225</v>
      </c>
      <c r="AU101" s="923">
        <f t="shared" si="519"/>
        <v>0</v>
      </c>
      <c r="AV101" s="923">
        <f t="shared" si="520"/>
        <v>0</v>
      </c>
      <c r="AW101" s="923">
        <f t="shared" si="521"/>
        <v>0</v>
      </c>
      <c r="AY101" s="923">
        <f t="shared" si="522"/>
        <v>0</v>
      </c>
      <c r="AZ101" s="923">
        <f t="shared" si="523"/>
        <v>0</v>
      </c>
      <c r="BA101" s="923">
        <f t="shared" si="524"/>
        <v>0</v>
      </c>
      <c r="BB101" s="923">
        <f t="shared" si="525"/>
        <v>0</v>
      </c>
      <c r="BC101" s="923">
        <f t="shared" si="526"/>
        <v>0</v>
      </c>
      <c r="BD101" s="923">
        <f t="shared" si="527"/>
        <v>0</v>
      </c>
      <c r="BE101" s="923">
        <f t="shared" si="528"/>
        <v>0</v>
      </c>
      <c r="BG101" s="923">
        <f t="shared" si="529"/>
        <v>0</v>
      </c>
      <c r="BH101" s="923">
        <f t="shared" si="530"/>
        <v>0</v>
      </c>
      <c r="BI101" s="923">
        <f t="shared" si="531"/>
        <v>90000</v>
      </c>
      <c r="BJ101" s="923">
        <f t="shared" si="532"/>
        <v>0</v>
      </c>
      <c r="BK101" s="925">
        <f t="shared" si="393"/>
        <v>0</v>
      </c>
      <c r="BL101" s="923">
        <f t="shared" si="533"/>
        <v>0</v>
      </c>
      <c r="BN101" s="923">
        <f t="shared" si="534"/>
        <v>0</v>
      </c>
      <c r="BO101" s="923">
        <f t="shared" si="535"/>
        <v>0</v>
      </c>
      <c r="BP101" s="923">
        <f t="shared" si="536"/>
        <v>20000</v>
      </c>
      <c r="BQ101" s="923">
        <f t="shared" si="537"/>
        <v>0</v>
      </c>
      <c r="BR101" s="925">
        <f t="shared" si="394"/>
        <v>0</v>
      </c>
      <c r="BS101" s="923">
        <f t="shared" si="538"/>
        <v>0</v>
      </c>
    </row>
    <row r="102" spans="1:85" s="924" customFormat="1" ht="18" customHeight="1" x14ac:dyDescent="0.25">
      <c r="A102" s="913" t="s">
        <v>791</v>
      </c>
      <c r="B102" s="913" t="str">
        <f>'ADU-101'!B$3:E$3</f>
        <v>ER Chaleur</v>
      </c>
      <c r="C102" s="914" t="str">
        <f>'ADU-101'!$B$8</f>
        <v>Solaire thermique</v>
      </c>
      <c r="D102" s="915" t="str">
        <f>'ADU-101'!$B$9</f>
        <v xml:space="preserve">Installation solaires thermiques </v>
      </c>
      <c r="E102" s="915" t="str">
        <f>'ADU-101'!$B$4</f>
        <v>Logement</v>
      </c>
      <c r="F102" s="915" t="str">
        <f>'ADU-101'!$B$12</f>
        <v>Citoyen</v>
      </c>
      <c r="G102" s="915" t="str">
        <f>'ADU-101'!$B$6</f>
        <v>ECOPÄCK</v>
      </c>
      <c r="H102" s="916">
        <f>'ADU-101'!$B$17</f>
        <v>720000</v>
      </c>
      <c r="I102" s="915" t="str">
        <f>'ADU-101'!$B$7</f>
        <v>Primes RW</v>
      </c>
      <c r="J102" s="916">
        <f>'ADU-101'!$B$18</f>
        <v>400000</v>
      </c>
      <c r="K102" s="916">
        <f>'ADU-101'!$B$21</f>
        <v>20160</v>
      </c>
      <c r="L102" s="916">
        <f>'ADU-101'!$B$22</f>
        <v>0</v>
      </c>
      <c r="M102" s="917">
        <f>'ADU-101'!$B$24</f>
        <v>15.873015873015873</v>
      </c>
      <c r="N102" s="918">
        <f>'ADU-101'!$B$25</f>
        <v>77.241600000000005</v>
      </c>
      <c r="O102" s="919">
        <f t="shared" si="493"/>
        <v>0.24138000000000001</v>
      </c>
      <c r="P102" s="920" t="str">
        <f>'ADU-101'!$B$5</f>
        <v>A faire</v>
      </c>
      <c r="Q102" s="921">
        <f>'ADU-101'!$B$16</f>
        <v>2030</v>
      </c>
      <c r="R102" s="922" t="str">
        <f t="shared" si="492"/>
        <v/>
      </c>
      <c r="S102" s="923">
        <f t="shared" si="494"/>
        <v>0</v>
      </c>
      <c r="T102" s="923">
        <f t="shared" si="495"/>
        <v>0</v>
      </c>
      <c r="U102" s="923">
        <f t="shared" si="496"/>
        <v>0</v>
      </c>
      <c r="V102" s="923">
        <f t="shared" si="497"/>
        <v>0</v>
      </c>
      <c r="W102" s="923">
        <f t="shared" si="498"/>
        <v>0</v>
      </c>
      <c r="X102" s="923">
        <f t="shared" si="499"/>
        <v>0</v>
      </c>
      <c r="Y102" s="923">
        <f t="shared" si="500"/>
        <v>0</v>
      </c>
      <c r="AA102" s="923">
        <f t="shared" si="501"/>
        <v>0</v>
      </c>
      <c r="AB102" s="923">
        <f t="shared" si="502"/>
        <v>0</v>
      </c>
      <c r="AC102" s="923">
        <f t="shared" si="503"/>
        <v>0</v>
      </c>
      <c r="AD102" s="923">
        <f t="shared" si="504"/>
        <v>0</v>
      </c>
      <c r="AE102" s="923">
        <f t="shared" si="505"/>
        <v>0</v>
      </c>
      <c r="AF102" s="923">
        <f t="shared" si="506"/>
        <v>0</v>
      </c>
      <c r="AG102" s="923">
        <f t="shared" si="507"/>
        <v>0</v>
      </c>
      <c r="AI102" s="923">
        <f t="shared" si="508"/>
        <v>0</v>
      </c>
      <c r="AJ102" s="923">
        <f t="shared" si="509"/>
        <v>0</v>
      </c>
      <c r="AK102" s="923">
        <f t="shared" si="510"/>
        <v>0</v>
      </c>
      <c r="AL102" s="923">
        <f t="shared" si="511"/>
        <v>0</v>
      </c>
      <c r="AM102" s="923">
        <f t="shared" si="512"/>
        <v>0</v>
      </c>
      <c r="AN102" s="923">
        <f t="shared" si="513"/>
        <v>0</v>
      </c>
      <c r="AO102" s="923">
        <f t="shared" si="514"/>
        <v>0</v>
      </c>
      <c r="AQ102" s="923">
        <f t="shared" si="515"/>
        <v>0</v>
      </c>
      <c r="AR102" s="923">
        <f t="shared" si="516"/>
        <v>0</v>
      </c>
      <c r="AS102" s="923">
        <f t="shared" si="517"/>
        <v>0</v>
      </c>
      <c r="AT102" s="923">
        <f t="shared" si="518"/>
        <v>0</v>
      </c>
      <c r="AU102" s="923">
        <f t="shared" si="519"/>
        <v>0</v>
      </c>
      <c r="AV102" s="923">
        <f t="shared" si="520"/>
        <v>0</v>
      </c>
      <c r="AW102" s="923">
        <f t="shared" si="521"/>
        <v>0</v>
      </c>
      <c r="AY102" s="923">
        <f t="shared" si="522"/>
        <v>0</v>
      </c>
      <c r="AZ102" s="923">
        <f t="shared" si="523"/>
        <v>0</v>
      </c>
      <c r="BA102" s="923">
        <f t="shared" si="524"/>
        <v>0</v>
      </c>
      <c r="BB102" s="923">
        <f t="shared" si="525"/>
        <v>0</v>
      </c>
      <c r="BC102" s="923">
        <f t="shared" si="526"/>
        <v>0</v>
      </c>
      <c r="BD102" s="923">
        <f t="shared" si="527"/>
        <v>0</v>
      </c>
      <c r="BE102" s="923">
        <f t="shared" si="528"/>
        <v>0</v>
      </c>
      <c r="BG102" s="923">
        <f t="shared" si="529"/>
        <v>0</v>
      </c>
      <c r="BH102" s="923">
        <f t="shared" si="530"/>
        <v>0</v>
      </c>
      <c r="BI102" s="923">
        <f t="shared" si="531"/>
        <v>0</v>
      </c>
      <c r="BJ102" s="923">
        <f t="shared" si="532"/>
        <v>0</v>
      </c>
      <c r="BK102" s="925">
        <f t="shared" si="393"/>
        <v>0</v>
      </c>
      <c r="BL102" s="923">
        <f t="shared" si="533"/>
        <v>0</v>
      </c>
      <c r="BN102" s="923">
        <f t="shared" si="534"/>
        <v>0</v>
      </c>
      <c r="BO102" s="923">
        <f t="shared" si="535"/>
        <v>0</v>
      </c>
      <c r="BP102" s="923">
        <f t="shared" si="536"/>
        <v>0</v>
      </c>
      <c r="BQ102" s="923">
        <f t="shared" si="537"/>
        <v>0</v>
      </c>
      <c r="BR102" s="925">
        <f t="shared" si="394"/>
        <v>0</v>
      </c>
      <c r="BS102" s="923">
        <f t="shared" si="538"/>
        <v>0</v>
      </c>
    </row>
    <row r="103" spans="1:85" s="845" customFormat="1" ht="18" customHeight="1" x14ac:dyDescent="0.25">
      <c r="A103" s="834" t="s">
        <v>790</v>
      </c>
      <c r="B103" s="834" t="str">
        <f>'ADU-102'!B$3:E$3</f>
        <v>ER Chaleur</v>
      </c>
      <c r="C103" s="835" t="str">
        <f>'ADU-102'!$B$8</f>
        <v>Bâtiments communaux et privés</v>
      </c>
      <c r="D103" s="836">
        <f>'ADU-102'!$B$9</f>
        <v>0</v>
      </c>
      <c r="E103" s="836" t="str">
        <f>'ADU-102'!$B$4</f>
        <v>Territoire</v>
      </c>
      <c r="F103" s="836" t="str">
        <f>'ADU-102'!$B$12</f>
        <v>AC MESSANCY</v>
      </c>
      <c r="G103" s="836" t="str">
        <f>'ADU-102'!$B$6</f>
        <v>Néant</v>
      </c>
      <c r="H103" s="837">
        <f>'ADU-102'!$B$17</f>
        <v>0</v>
      </c>
      <c r="I103" s="836" t="str">
        <f>'ADU-102'!$B$7</f>
        <v>Néant</v>
      </c>
      <c r="J103" s="837">
        <f>'ADU-102'!$B$18</f>
        <v>0</v>
      </c>
      <c r="K103" s="837">
        <f>'ADU-102'!$B$21</f>
        <v>0</v>
      </c>
      <c r="L103" s="837">
        <f>'ADU-102'!$B$22</f>
        <v>0</v>
      </c>
      <c r="M103" s="838" t="e">
        <f>'ADU-102'!$B$24</f>
        <v>#DIV/0!</v>
      </c>
      <c r="N103" s="839">
        <f>'ADU-102'!$B$25</f>
        <v>0</v>
      </c>
      <c r="O103" s="840">
        <f t="shared" si="493"/>
        <v>0</v>
      </c>
      <c r="P103" s="841" t="str">
        <f>'ADU-102'!$B$5</f>
        <v>Ne pas réaliser</v>
      </c>
      <c r="Q103" s="842">
        <f>'ADU-102'!$B$16</f>
        <v>0</v>
      </c>
      <c r="R103" s="843" t="str">
        <f t="shared" si="492"/>
        <v/>
      </c>
      <c r="S103" s="844">
        <f t="shared" si="494"/>
        <v>0</v>
      </c>
      <c r="T103" s="844">
        <f t="shared" si="495"/>
        <v>0</v>
      </c>
      <c r="U103" s="844">
        <f t="shared" si="496"/>
        <v>0</v>
      </c>
      <c r="V103" s="844">
        <f t="shared" si="497"/>
        <v>0</v>
      </c>
      <c r="W103" s="844">
        <f t="shared" si="498"/>
        <v>0</v>
      </c>
      <c r="X103" s="844">
        <f t="shared" si="499"/>
        <v>0</v>
      </c>
      <c r="Y103" s="844">
        <f t="shared" si="500"/>
        <v>0</v>
      </c>
      <c r="AA103" s="844">
        <f t="shared" si="501"/>
        <v>0</v>
      </c>
      <c r="AB103" s="844">
        <f t="shared" si="502"/>
        <v>0</v>
      </c>
      <c r="AC103" s="844">
        <f t="shared" si="503"/>
        <v>0</v>
      </c>
      <c r="AD103" s="844">
        <f t="shared" si="504"/>
        <v>0</v>
      </c>
      <c r="AE103" s="844">
        <f t="shared" si="505"/>
        <v>0</v>
      </c>
      <c r="AF103" s="844">
        <f t="shared" si="506"/>
        <v>0</v>
      </c>
      <c r="AG103" s="844">
        <f t="shared" si="507"/>
        <v>0</v>
      </c>
      <c r="AI103" s="844">
        <f t="shared" si="508"/>
        <v>0</v>
      </c>
      <c r="AJ103" s="844">
        <f t="shared" si="509"/>
        <v>0</v>
      </c>
      <c r="AK103" s="844">
        <f t="shared" si="510"/>
        <v>0</v>
      </c>
      <c r="AL103" s="844">
        <f t="shared" si="511"/>
        <v>0</v>
      </c>
      <c r="AM103" s="844">
        <f t="shared" si="512"/>
        <v>0</v>
      </c>
      <c r="AN103" s="844">
        <f t="shared" si="513"/>
        <v>0</v>
      </c>
      <c r="AO103" s="844">
        <f t="shared" si="514"/>
        <v>0</v>
      </c>
      <c r="AQ103" s="844">
        <f t="shared" si="515"/>
        <v>0</v>
      </c>
      <c r="AR103" s="844">
        <f t="shared" si="516"/>
        <v>0</v>
      </c>
      <c r="AS103" s="844">
        <f t="shared" si="517"/>
        <v>0</v>
      </c>
      <c r="AT103" s="844">
        <f t="shared" si="518"/>
        <v>0</v>
      </c>
      <c r="AU103" s="844">
        <f t="shared" si="519"/>
        <v>0</v>
      </c>
      <c r="AV103" s="844">
        <f t="shared" si="520"/>
        <v>0</v>
      </c>
      <c r="AW103" s="844">
        <f t="shared" si="521"/>
        <v>0</v>
      </c>
      <c r="AY103" s="844">
        <f t="shared" si="522"/>
        <v>0</v>
      </c>
      <c r="AZ103" s="844">
        <f t="shared" si="523"/>
        <v>0</v>
      </c>
      <c r="BA103" s="844">
        <f t="shared" si="524"/>
        <v>0</v>
      </c>
      <c r="BB103" s="844">
        <f t="shared" si="525"/>
        <v>0</v>
      </c>
      <c r="BC103" s="844">
        <f t="shared" si="526"/>
        <v>0</v>
      </c>
      <c r="BD103" s="844">
        <f t="shared" si="527"/>
        <v>0</v>
      </c>
      <c r="BE103" s="844">
        <f t="shared" si="528"/>
        <v>0</v>
      </c>
      <c r="BG103" s="844">
        <f t="shared" si="529"/>
        <v>0</v>
      </c>
      <c r="BH103" s="844">
        <f t="shared" si="530"/>
        <v>0</v>
      </c>
      <c r="BI103" s="844">
        <f t="shared" si="531"/>
        <v>0</v>
      </c>
      <c r="BJ103" s="844">
        <f t="shared" si="532"/>
        <v>0</v>
      </c>
      <c r="BK103" s="846">
        <f t="shared" si="393"/>
        <v>0</v>
      </c>
      <c r="BL103" s="844">
        <f t="shared" si="533"/>
        <v>0</v>
      </c>
      <c r="BN103" s="844">
        <f t="shared" si="534"/>
        <v>0</v>
      </c>
      <c r="BO103" s="844">
        <f t="shared" si="535"/>
        <v>0</v>
      </c>
      <c r="BP103" s="844">
        <f t="shared" si="536"/>
        <v>0</v>
      </c>
      <c r="BQ103" s="844">
        <f t="shared" si="537"/>
        <v>0</v>
      </c>
      <c r="BR103" s="846">
        <f t="shared" si="394"/>
        <v>0</v>
      </c>
      <c r="BS103" s="844">
        <f t="shared" si="538"/>
        <v>0</v>
      </c>
    </row>
    <row r="104" spans="1:85" s="845" customFormat="1" ht="18" customHeight="1" x14ac:dyDescent="0.25">
      <c r="A104" s="834" t="s">
        <v>849</v>
      </c>
      <c r="B104" s="834" t="str">
        <f>'ADU-103'!B$3:E$3</f>
        <v>ER Chaleur</v>
      </c>
      <c r="C104" s="835" t="str">
        <f>'ADU-103'!$B$8</f>
        <v>Vecteur énergétique</v>
      </c>
      <c r="D104" s="836" t="str">
        <f>'ADU-103'!$B$9</f>
        <v>Chauffage biomasse</v>
      </c>
      <c r="E104" s="836" t="str">
        <f>'ADU-103'!$B$4</f>
        <v>Industrie</v>
      </c>
      <c r="F104" s="836" t="str">
        <f>'ADU-103'!$B$12</f>
        <v>Industrie</v>
      </c>
      <c r="G104" s="836" t="str">
        <f>'ADU-103'!$B$6</f>
        <v>Néant</v>
      </c>
      <c r="H104" s="837">
        <f>'ADU-103'!$B$17</f>
        <v>0</v>
      </c>
      <c r="I104" s="836" t="str">
        <f>'ADU-103'!$B$7</f>
        <v>Néant</v>
      </c>
      <c r="J104" s="837">
        <f>'ADU-103'!$B$18</f>
        <v>0</v>
      </c>
      <c r="K104" s="837">
        <f>'ADU-103'!$B$21</f>
        <v>0</v>
      </c>
      <c r="L104" s="837">
        <f>'ADU-103'!$B$22</f>
        <v>0</v>
      </c>
      <c r="M104" s="838" t="e">
        <f>'ADU-103'!$B$24</f>
        <v>#DIV/0!</v>
      </c>
      <c r="N104" s="839">
        <f>'ADU-103'!$B$25</f>
        <v>0</v>
      </c>
      <c r="O104" s="840">
        <f>IF(H104=0,0,N104/(H104-J104)*1000)</f>
        <v>0</v>
      </c>
      <c r="P104" s="841" t="str">
        <f>'ADU-103'!$B$5</f>
        <v>Ne pas réaliser</v>
      </c>
      <c r="Q104" s="842">
        <f>'ADU-103'!$B$16</f>
        <v>0</v>
      </c>
      <c r="R104" s="843" t="str">
        <f>IF(P104="terminé", N104,"")</f>
        <v/>
      </c>
      <c r="S104" s="844">
        <f t="shared" si="494"/>
        <v>0</v>
      </c>
      <c r="T104" s="844">
        <f t="shared" si="495"/>
        <v>0</v>
      </c>
      <c r="U104" s="844">
        <f t="shared" si="496"/>
        <v>0</v>
      </c>
      <c r="V104" s="844">
        <f t="shared" si="497"/>
        <v>0</v>
      </c>
      <c r="W104" s="844">
        <f t="shared" si="498"/>
        <v>0</v>
      </c>
      <c r="X104" s="844">
        <f t="shared" si="499"/>
        <v>0</v>
      </c>
      <c r="Y104" s="844">
        <f t="shared" si="500"/>
        <v>0</v>
      </c>
      <c r="AA104" s="844">
        <f t="shared" si="501"/>
        <v>0</v>
      </c>
      <c r="AB104" s="844">
        <f t="shared" si="502"/>
        <v>0</v>
      </c>
      <c r="AC104" s="844">
        <f t="shared" si="503"/>
        <v>0</v>
      </c>
      <c r="AD104" s="844">
        <f t="shared" si="504"/>
        <v>0</v>
      </c>
      <c r="AE104" s="844">
        <f t="shared" si="505"/>
        <v>0</v>
      </c>
      <c r="AF104" s="844">
        <f t="shared" si="506"/>
        <v>0</v>
      </c>
      <c r="AG104" s="844">
        <f t="shared" si="507"/>
        <v>0</v>
      </c>
      <c r="AI104" s="844">
        <f t="shared" si="508"/>
        <v>0</v>
      </c>
      <c r="AJ104" s="844">
        <f t="shared" si="509"/>
        <v>0</v>
      </c>
      <c r="AK104" s="844">
        <f t="shared" si="510"/>
        <v>0</v>
      </c>
      <c r="AL104" s="844">
        <f t="shared" si="511"/>
        <v>0</v>
      </c>
      <c r="AM104" s="844">
        <f t="shared" si="512"/>
        <v>0</v>
      </c>
      <c r="AN104" s="844">
        <f t="shared" si="513"/>
        <v>0</v>
      </c>
      <c r="AO104" s="844">
        <f t="shared" si="514"/>
        <v>0</v>
      </c>
      <c r="AQ104" s="844">
        <f t="shared" si="515"/>
        <v>0</v>
      </c>
      <c r="AR104" s="844">
        <f t="shared" si="516"/>
        <v>0</v>
      </c>
      <c r="AS104" s="844">
        <f t="shared" si="517"/>
        <v>0</v>
      </c>
      <c r="AT104" s="844">
        <f t="shared" si="518"/>
        <v>0</v>
      </c>
      <c r="AU104" s="844">
        <f t="shared" si="519"/>
        <v>0</v>
      </c>
      <c r="AV104" s="844">
        <f t="shared" si="520"/>
        <v>0</v>
      </c>
      <c r="AW104" s="844">
        <f t="shared" si="521"/>
        <v>0</v>
      </c>
      <c r="AY104" s="844">
        <f t="shared" si="522"/>
        <v>0</v>
      </c>
      <c r="AZ104" s="844">
        <f t="shared" si="523"/>
        <v>0</v>
      </c>
      <c r="BA104" s="844">
        <f t="shared" si="524"/>
        <v>0</v>
      </c>
      <c r="BB104" s="844">
        <f t="shared" si="525"/>
        <v>0</v>
      </c>
      <c r="BC104" s="844">
        <f t="shared" si="526"/>
        <v>0</v>
      </c>
      <c r="BD104" s="844">
        <f t="shared" si="527"/>
        <v>0</v>
      </c>
      <c r="BE104" s="844">
        <f t="shared" si="528"/>
        <v>0</v>
      </c>
      <c r="BG104" s="844">
        <f t="shared" si="529"/>
        <v>0</v>
      </c>
      <c r="BH104" s="844">
        <f t="shared" si="530"/>
        <v>0</v>
      </c>
      <c r="BI104" s="844">
        <f t="shared" si="531"/>
        <v>0</v>
      </c>
      <c r="BJ104" s="844">
        <f t="shared" si="532"/>
        <v>0</v>
      </c>
      <c r="BK104" s="846">
        <f t="shared" si="393"/>
        <v>0</v>
      </c>
      <c r="BL104" s="844">
        <f t="shared" si="533"/>
        <v>0</v>
      </c>
      <c r="BN104" s="844">
        <f t="shared" si="534"/>
        <v>0</v>
      </c>
      <c r="BO104" s="844">
        <f t="shared" si="535"/>
        <v>0</v>
      </c>
      <c r="BP104" s="844">
        <f t="shared" si="536"/>
        <v>0</v>
      </c>
      <c r="BQ104" s="844">
        <f t="shared" si="537"/>
        <v>0</v>
      </c>
      <c r="BR104" s="846">
        <f t="shared" si="394"/>
        <v>0</v>
      </c>
      <c r="BS104" s="844">
        <f t="shared" si="538"/>
        <v>0</v>
      </c>
    </row>
    <row r="105" spans="1:85" s="910" customFormat="1" ht="18" customHeight="1" x14ac:dyDescent="0.25">
      <c r="A105" s="369" t="s">
        <v>789</v>
      </c>
      <c r="B105" s="369" t="str">
        <f>'ADU-121'!B$3:E$3</f>
        <v>Agroforesterie/déchets</v>
      </c>
      <c r="C105" s="900" t="str">
        <f>'ADU-121'!$B$8</f>
        <v>Réseau de haies</v>
      </c>
      <c r="D105" s="901" t="str">
        <f>'ADU-121'!$B$9</f>
        <v>Réintroduction de haies vives</v>
      </c>
      <c r="E105" s="901" t="str">
        <f>'ADU-121'!$B$4</f>
        <v>Communal</v>
      </c>
      <c r="F105" s="901" t="str">
        <f>'ADU-121'!$B$12</f>
        <v>AC MESSANCY</v>
      </c>
      <c r="G105" s="901" t="str">
        <f>'ADU-121'!$B$6</f>
        <v>Fonds propres</v>
      </c>
      <c r="H105" s="902">
        <f>'ADU-121'!$B$17</f>
        <v>120000</v>
      </c>
      <c r="I105" s="901" t="str">
        <f>'ADU-121'!$B$7</f>
        <v>Subs RW</v>
      </c>
      <c r="J105" s="902">
        <f>'ADU-121'!$B$18</f>
        <v>84000</v>
      </c>
      <c r="K105" s="902">
        <f>'ADU-121'!$B$21</f>
        <v>1</v>
      </c>
      <c r="L105" s="902">
        <f>'ADU-121'!$B$22</f>
        <v>0</v>
      </c>
      <c r="M105" s="903">
        <f>'ADU-121'!$B$24</f>
        <v>36000</v>
      </c>
      <c r="N105" s="904">
        <f>'ADU-121'!$B$25</f>
        <v>364.2912</v>
      </c>
      <c r="O105" s="905">
        <f t="shared" ref="O105:O111" si="586">IF(H105=0,0,N105/(H105-J105)*1000)</f>
        <v>10.119199999999999</v>
      </c>
      <c r="P105" s="906" t="str">
        <f>'ADU-121'!$B$5</f>
        <v>Terminé</v>
      </c>
      <c r="Q105" s="907">
        <f>'ADU-121'!$B$16</f>
        <v>2030</v>
      </c>
      <c r="R105" s="908">
        <f t="shared" ref="R105:R111" si="587">IF(P105="terminé", N105,"")</f>
        <v>364.2912</v>
      </c>
      <c r="S105" s="909">
        <f t="shared" si="494"/>
        <v>0</v>
      </c>
      <c r="T105" s="909">
        <f t="shared" si="495"/>
        <v>0</v>
      </c>
      <c r="U105" s="909">
        <f t="shared" si="496"/>
        <v>0</v>
      </c>
      <c r="V105" s="909">
        <f t="shared" si="497"/>
        <v>0</v>
      </c>
      <c r="W105" s="909">
        <f t="shared" si="498"/>
        <v>0</v>
      </c>
      <c r="X105" s="909">
        <f t="shared" si="499"/>
        <v>0</v>
      </c>
      <c r="Y105" s="909">
        <f t="shared" si="500"/>
        <v>364.2912</v>
      </c>
      <c r="AA105" s="909">
        <f t="shared" si="501"/>
        <v>0</v>
      </c>
      <c r="AB105" s="909">
        <f t="shared" si="502"/>
        <v>0</v>
      </c>
      <c r="AC105" s="909">
        <f t="shared" si="503"/>
        <v>0</v>
      </c>
      <c r="AD105" s="909">
        <f t="shared" si="504"/>
        <v>0</v>
      </c>
      <c r="AE105" s="909">
        <f t="shared" si="505"/>
        <v>0</v>
      </c>
      <c r="AF105" s="909">
        <f t="shared" si="506"/>
        <v>0</v>
      </c>
      <c r="AG105" s="909">
        <f t="shared" si="507"/>
        <v>120000</v>
      </c>
      <c r="AI105" s="909">
        <f t="shared" si="508"/>
        <v>0</v>
      </c>
      <c r="AJ105" s="909">
        <f t="shared" si="509"/>
        <v>0</v>
      </c>
      <c r="AK105" s="909">
        <f t="shared" si="510"/>
        <v>0</v>
      </c>
      <c r="AL105" s="909">
        <f t="shared" si="511"/>
        <v>0</v>
      </c>
      <c r="AM105" s="909">
        <f t="shared" si="512"/>
        <v>0</v>
      </c>
      <c r="AN105" s="909">
        <f t="shared" si="513"/>
        <v>0</v>
      </c>
      <c r="AO105" s="909">
        <f t="shared" si="514"/>
        <v>84000</v>
      </c>
      <c r="AQ105" s="909">
        <f t="shared" si="515"/>
        <v>0</v>
      </c>
      <c r="AR105" s="909">
        <f t="shared" si="516"/>
        <v>0</v>
      </c>
      <c r="AS105" s="909">
        <f t="shared" si="517"/>
        <v>0</v>
      </c>
      <c r="AT105" s="909">
        <f t="shared" si="518"/>
        <v>0</v>
      </c>
      <c r="AU105" s="909">
        <f t="shared" si="519"/>
        <v>0</v>
      </c>
      <c r="AV105" s="909">
        <f t="shared" si="520"/>
        <v>0</v>
      </c>
      <c r="AW105" s="909">
        <f t="shared" si="521"/>
        <v>1</v>
      </c>
      <c r="AY105" s="909">
        <f t="shared" si="522"/>
        <v>0</v>
      </c>
      <c r="AZ105" s="909">
        <f t="shared" si="523"/>
        <v>0</v>
      </c>
      <c r="BA105" s="909">
        <f t="shared" si="524"/>
        <v>0</v>
      </c>
      <c r="BB105" s="909">
        <f t="shared" si="525"/>
        <v>0</v>
      </c>
      <c r="BC105" s="909">
        <f t="shared" si="526"/>
        <v>0</v>
      </c>
      <c r="BD105" s="909">
        <f t="shared" si="527"/>
        <v>0</v>
      </c>
      <c r="BE105" s="909">
        <f t="shared" si="528"/>
        <v>0</v>
      </c>
      <c r="BG105" s="909">
        <f t="shared" si="529"/>
        <v>0</v>
      </c>
      <c r="BH105" s="909">
        <f t="shared" si="530"/>
        <v>0</v>
      </c>
      <c r="BI105" s="909">
        <f t="shared" si="531"/>
        <v>0</v>
      </c>
      <c r="BJ105" s="909">
        <f t="shared" si="532"/>
        <v>0</v>
      </c>
      <c r="BK105" s="911">
        <f t="shared" si="393"/>
        <v>120000</v>
      </c>
      <c r="BL105" s="909">
        <f t="shared" si="533"/>
        <v>0</v>
      </c>
      <c r="BN105" s="909">
        <f t="shared" si="534"/>
        <v>0</v>
      </c>
      <c r="BO105" s="909">
        <f t="shared" si="535"/>
        <v>0</v>
      </c>
      <c r="BP105" s="909">
        <f t="shared" si="536"/>
        <v>0</v>
      </c>
      <c r="BQ105" s="909">
        <f t="shared" si="537"/>
        <v>0</v>
      </c>
      <c r="BR105" s="911">
        <f t="shared" si="394"/>
        <v>84000</v>
      </c>
      <c r="BS105" s="909">
        <f t="shared" si="538"/>
        <v>0</v>
      </c>
      <c r="BT105" s="912"/>
      <c r="BU105" s="912"/>
      <c r="BV105" s="912"/>
      <c r="BW105" s="912"/>
      <c r="BX105" s="912"/>
      <c r="BY105" s="912"/>
      <c r="BZ105" s="912"/>
      <c r="CA105" s="912"/>
      <c r="CB105" s="912"/>
      <c r="CC105" s="912"/>
      <c r="CD105" s="912"/>
      <c r="CE105" s="912"/>
      <c r="CF105" s="912"/>
      <c r="CG105" s="912"/>
    </row>
    <row r="106" spans="1:85" s="858" customFormat="1" ht="18" customHeight="1" x14ac:dyDescent="0.25">
      <c r="A106" s="847" t="s">
        <v>788</v>
      </c>
      <c r="B106" s="847" t="str">
        <f>'ADU-122'!B$3:E$3</f>
        <v>Agroforesterie/déchets</v>
      </c>
      <c r="C106" s="848" t="str">
        <f>'ADU-122'!$B$8</f>
        <v>Séquestration de CO2 par reboisement</v>
      </c>
      <c r="D106" s="849" t="str">
        <f>'ADU-122'!$B$9</f>
        <v>Reboisement d'aires non valorisées</v>
      </c>
      <c r="E106" s="849" t="str">
        <f>'ADU-122'!$B$4</f>
        <v>Territoire</v>
      </c>
      <c r="F106" s="849" t="str">
        <f>'ADU-122'!$B$12</f>
        <v>AC MESSANCY</v>
      </c>
      <c r="G106" s="849" t="str">
        <f>'ADU-122'!$B$6</f>
        <v>Fonds propres</v>
      </c>
      <c r="H106" s="850">
        <f>'ADU-122'!$B$17</f>
        <v>10000</v>
      </c>
      <c r="I106" s="849" t="str">
        <f>'ADU-122'!$B$7</f>
        <v>Subs RW</v>
      </c>
      <c r="J106" s="850">
        <f>'ADU-122'!$B$18</f>
        <v>7000</v>
      </c>
      <c r="K106" s="850">
        <f>'ADU-122'!$B$21</f>
        <v>1</v>
      </c>
      <c r="L106" s="850">
        <f>'ADU-122'!$B$22</f>
        <v>0</v>
      </c>
      <c r="M106" s="851">
        <f>'ADU-122'!$B$24</f>
        <v>3000</v>
      </c>
      <c r="N106" s="852">
        <f>'ADU-122'!$B$25</f>
        <v>202.5</v>
      </c>
      <c r="O106" s="853">
        <f t="shared" si="586"/>
        <v>67.5</v>
      </c>
      <c r="P106" s="854" t="str">
        <f>'ADU-122'!$B$5</f>
        <v>A investiguer</v>
      </c>
      <c r="Q106" s="855">
        <f>'ADU-122'!$B$16</f>
        <v>2030</v>
      </c>
      <c r="R106" s="940" t="str">
        <f t="shared" si="587"/>
        <v/>
      </c>
      <c r="S106" s="857">
        <f t="shared" si="494"/>
        <v>0</v>
      </c>
      <c r="T106" s="857">
        <f t="shared" si="495"/>
        <v>0</v>
      </c>
      <c r="U106" s="857">
        <f t="shared" si="496"/>
        <v>0</v>
      </c>
      <c r="V106" s="857">
        <f t="shared" si="497"/>
        <v>0</v>
      </c>
      <c r="W106" s="857">
        <f t="shared" si="498"/>
        <v>0</v>
      </c>
      <c r="X106" s="857">
        <f t="shared" si="499"/>
        <v>0</v>
      </c>
      <c r="Y106" s="857">
        <f t="shared" si="500"/>
        <v>0</v>
      </c>
      <c r="AA106" s="857">
        <f t="shared" si="501"/>
        <v>0</v>
      </c>
      <c r="AB106" s="857">
        <f t="shared" si="502"/>
        <v>0</v>
      </c>
      <c r="AC106" s="857">
        <f t="shared" si="503"/>
        <v>0</v>
      </c>
      <c r="AD106" s="857">
        <f t="shared" si="504"/>
        <v>0</v>
      </c>
      <c r="AE106" s="857">
        <f t="shared" si="505"/>
        <v>0</v>
      </c>
      <c r="AF106" s="857">
        <f t="shared" si="506"/>
        <v>0</v>
      </c>
      <c r="AG106" s="857">
        <f t="shared" si="507"/>
        <v>0</v>
      </c>
      <c r="AI106" s="857">
        <f t="shared" si="508"/>
        <v>0</v>
      </c>
      <c r="AJ106" s="857">
        <f t="shared" si="509"/>
        <v>0</v>
      </c>
      <c r="AK106" s="857">
        <f t="shared" si="510"/>
        <v>0</v>
      </c>
      <c r="AL106" s="857">
        <f t="shared" si="511"/>
        <v>0</v>
      </c>
      <c r="AM106" s="857">
        <f t="shared" si="512"/>
        <v>0</v>
      </c>
      <c r="AN106" s="857">
        <f t="shared" si="513"/>
        <v>0</v>
      </c>
      <c r="AO106" s="857">
        <f t="shared" si="514"/>
        <v>0</v>
      </c>
      <c r="AQ106" s="857">
        <f t="shared" si="515"/>
        <v>0</v>
      </c>
      <c r="AR106" s="857">
        <f t="shared" si="516"/>
        <v>0</v>
      </c>
      <c r="AS106" s="857">
        <f t="shared" si="517"/>
        <v>0</v>
      </c>
      <c r="AT106" s="857">
        <f t="shared" si="518"/>
        <v>0</v>
      </c>
      <c r="AU106" s="857">
        <f t="shared" si="519"/>
        <v>0</v>
      </c>
      <c r="AV106" s="857">
        <f t="shared" si="520"/>
        <v>0</v>
      </c>
      <c r="AW106" s="857">
        <f t="shared" si="521"/>
        <v>0</v>
      </c>
      <c r="AY106" s="857">
        <f t="shared" si="522"/>
        <v>0</v>
      </c>
      <c r="AZ106" s="857">
        <f t="shared" si="523"/>
        <v>0</v>
      </c>
      <c r="BA106" s="857">
        <f t="shared" si="524"/>
        <v>0</v>
      </c>
      <c r="BB106" s="857">
        <f t="shared" si="525"/>
        <v>0</v>
      </c>
      <c r="BC106" s="857">
        <f t="shared" si="526"/>
        <v>0</v>
      </c>
      <c r="BD106" s="857">
        <f t="shared" si="527"/>
        <v>0</v>
      </c>
      <c r="BE106" s="857">
        <f t="shared" si="528"/>
        <v>0</v>
      </c>
      <c r="BG106" s="857">
        <f t="shared" si="529"/>
        <v>0</v>
      </c>
      <c r="BH106" s="857">
        <f t="shared" si="530"/>
        <v>0</v>
      </c>
      <c r="BI106" s="857">
        <f t="shared" si="531"/>
        <v>0</v>
      </c>
      <c r="BJ106" s="857">
        <f t="shared" si="532"/>
        <v>0</v>
      </c>
      <c r="BK106" s="859">
        <f t="shared" si="393"/>
        <v>0</v>
      </c>
      <c r="BL106" s="857">
        <f t="shared" si="533"/>
        <v>0</v>
      </c>
      <c r="BN106" s="857">
        <f t="shared" si="534"/>
        <v>0</v>
      </c>
      <c r="BO106" s="857">
        <f t="shared" si="535"/>
        <v>0</v>
      </c>
      <c r="BP106" s="857">
        <f t="shared" si="536"/>
        <v>0</v>
      </c>
      <c r="BQ106" s="857">
        <f t="shared" si="537"/>
        <v>0</v>
      </c>
      <c r="BR106" s="859">
        <f t="shared" si="394"/>
        <v>0</v>
      </c>
      <c r="BS106" s="857">
        <f t="shared" si="538"/>
        <v>0</v>
      </c>
      <c r="BT106" s="941"/>
      <c r="BU106" s="941"/>
      <c r="BV106" s="941"/>
      <c r="BW106" s="941"/>
      <c r="BX106" s="941"/>
      <c r="BY106" s="941"/>
      <c r="BZ106" s="941"/>
      <c r="CA106" s="941"/>
      <c r="CB106" s="941"/>
      <c r="CC106" s="941"/>
      <c r="CD106" s="941"/>
      <c r="CE106" s="941"/>
      <c r="CF106" s="941"/>
      <c r="CG106" s="941"/>
    </row>
    <row r="107" spans="1:85" s="858" customFormat="1" ht="18" customHeight="1" x14ac:dyDescent="0.25">
      <c r="A107" s="847" t="s">
        <v>787</v>
      </c>
      <c r="B107" s="847" t="str">
        <f>'ADU-123'!B$3:E$3</f>
        <v>Agroforesterie/déchets</v>
      </c>
      <c r="C107" s="848" t="str">
        <f>'ADU-123'!$B$8</f>
        <v>Production de combustible biomasse</v>
      </c>
      <c r="D107" s="849" t="str">
        <f>'ADU-123'!$B$9</f>
        <v>Culture de miscanthus</v>
      </c>
      <c r="E107" s="849" t="str">
        <f>'ADU-123'!$B$4</f>
        <v>Agriculture</v>
      </c>
      <c r="F107" s="849" t="str">
        <f>'ADU-123'!$B$12</f>
        <v>Agriculture</v>
      </c>
      <c r="G107" s="849" t="str">
        <f>'ADU-123'!$B$6</f>
        <v>Fonds propres</v>
      </c>
      <c r="H107" s="850">
        <f>'ADU-123'!$B$17</f>
        <v>25000</v>
      </c>
      <c r="I107" s="849" t="str">
        <f>'ADU-123'!$B$7</f>
        <v>Subs RW</v>
      </c>
      <c r="J107" s="850">
        <f>'ADU-123'!$B$18</f>
        <v>17500</v>
      </c>
      <c r="K107" s="850">
        <f>'ADU-123'!$B$21</f>
        <v>42000</v>
      </c>
      <c r="L107" s="850">
        <f>'ADU-123'!$B$22</f>
        <v>0</v>
      </c>
      <c r="M107" s="851">
        <f>'ADU-123'!$B$24</f>
        <v>0.17857142857142858</v>
      </c>
      <c r="N107" s="852">
        <f>'ADU-123'!$B$25</f>
        <v>536.4</v>
      </c>
      <c r="O107" s="853">
        <f t="shared" si="586"/>
        <v>71.52</v>
      </c>
      <c r="P107" s="854" t="str">
        <f>'ADU-123'!$B$5</f>
        <v>A investiguer</v>
      </c>
      <c r="Q107" s="855">
        <f>'ADU-123'!$B$16</f>
        <v>2030</v>
      </c>
      <c r="R107" s="856" t="str">
        <f t="shared" si="587"/>
        <v/>
      </c>
      <c r="S107" s="857">
        <f t="shared" si="494"/>
        <v>0</v>
      </c>
      <c r="T107" s="857">
        <f t="shared" si="495"/>
        <v>0</v>
      </c>
      <c r="U107" s="857">
        <f t="shared" si="496"/>
        <v>0</v>
      </c>
      <c r="V107" s="857">
        <f t="shared" si="497"/>
        <v>0</v>
      </c>
      <c r="W107" s="857">
        <f t="shared" si="498"/>
        <v>0</v>
      </c>
      <c r="X107" s="857">
        <f t="shared" si="499"/>
        <v>0</v>
      </c>
      <c r="Y107" s="857">
        <f t="shared" si="500"/>
        <v>0</v>
      </c>
      <c r="AA107" s="857">
        <f t="shared" si="501"/>
        <v>0</v>
      </c>
      <c r="AB107" s="857">
        <f t="shared" si="502"/>
        <v>0</v>
      </c>
      <c r="AC107" s="857">
        <f t="shared" si="503"/>
        <v>0</v>
      </c>
      <c r="AD107" s="857">
        <f t="shared" si="504"/>
        <v>0</v>
      </c>
      <c r="AE107" s="857">
        <f t="shared" si="505"/>
        <v>0</v>
      </c>
      <c r="AF107" s="857">
        <f t="shared" si="506"/>
        <v>0</v>
      </c>
      <c r="AG107" s="857">
        <f t="shared" si="507"/>
        <v>0</v>
      </c>
      <c r="AI107" s="857">
        <f t="shared" si="508"/>
        <v>0</v>
      </c>
      <c r="AJ107" s="857">
        <f t="shared" si="509"/>
        <v>0</v>
      </c>
      <c r="AK107" s="857">
        <f t="shared" si="510"/>
        <v>0</v>
      </c>
      <c r="AL107" s="857">
        <f t="shared" si="511"/>
        <v>0</v>
      </c>
      <c r="AM107" s="857">
        <f t="shared" si="512"/>
        <v>0</v>
      </c>
      <c r="AN107" s="857">
        <f t="shared" si="513"/>
        <v>0</v>
      </c>
      <c r="AO107" s="857">
        <f t="shared" si="514"/>
        <v>0</v>
      </c>
      <c r="AQ107" s="857">
        <f t="shared" si="515"/>
        <v>0</v>
      </c>
      <c r="AR107" s="857">
        <f t="shared" si="516"/>
        <v>0</v>
      </c>
      <c r="AS107" s="857">
        <f t="shared" si="517"/>
        <v>0</v>
      </c>
      <c r="AT107" s="857">
        <f t="shared" si="518"/>
        <v>0</v>
      </c>
      <c r="AU107" s="857">
        <f t="shared" si="519"/>
        <v>0</v>
      </c>
      <c r="AV107" s="857">
        <f t="shared" si="520"/>
        <v>0</v>
      </c>
      <c r="AW107" s="857">
        <f t="shared" si="521"/>
        <v>0</v>
      </c>
      <c r="AY107" s="857">
        <f t="shared" si="522"/>
        <v>0</v>
      </c>
      <c r="AZ107" s="857">
        <f t="shared" si="523"/>
        <v>0</v>
      </c>
      <c r="BA107" s="857">
        <f t="shared" si="524"/>
        <v>0</v>
      </c>
      <c r="BB107" s="857">
        <f t="shared" si="525"/>
        <v>0</v>
      </c>
      <c r="BC107" s="857">
        <f t="shared" si="526"/>
        <v>0</v>
      </c>
      <c r="BD107" s="857">
        <f t="shared" si="527"/>
        <v>0</v>
      </c>
      <c r="BE107" s="857">
        <f t="shared" si="528"/>
        <v>0</v>
      </c>
      <c r="BG107" s="857">
        <f t="shared" si="529"/>
        <v>0</v>
      </c>
      <c r="BH107" s="857">
        <f t="shared" si="530"/>
        <v>0</v>
      </c>
      <c r="BI107" s="857">
        <f t="shared" si="531"/>
        <v>0</v>
      </c>
      <c r="BJ107" s="857">
        <f t="shared" si="532"/>
        <v>0</v>
      </c>
      <c r="BK107" s="859">
        <f t="shared" si="393"/>
        <v>0</v>
      </c>
      <c r="BL107" s="857">
        <f t="shared" si="533"/>
        <v>0</v>
      </c>
      <c r="BN107" s="857">
        <f t="shared" si="534"/>
        <v>0</v>
      </c>
      <c r="BO107" s="857">
        <f t="shared" si="535"/>
        <v>0</v>
      </c>
      <c r="BP107" s="857">
        <f t="shared" si="536"/>
        <v>0</v>
      </c>
      <c r="BQ107" s="857">
        <f t="shared" si="537"/>
        <v>0</v>
      </c>
      <c r="BR107" s="859">
        <f t="shared" si="394"/>
        <v>0</v>
      </c>
      <c r="BS107" s="857">
        <f t="shared" si="538"/>
        <v>0</v>
      </c>
      <c r="BT107" s="941"/>
      <c r="BU107" s="941"/>
      <c r="BV107" s="941"/>
      <c r="BW107" s="941"/>
      <c r="BX107" s="941"/>
      <c r="BY107" s="941"/>
      <c r="BZ107" s="941"/>
      <c r="CA107" s="941"/>
      <c r="CB107" s="941"/>
      <c r="CC107" s="941"/>
      <c r="CD107" s="941"/>
      <c r="CE107" s="941"/>
      <c r="CF107" s="941"/>
      <c r="CG107" s="941"/>
    </row>
    <row r="108" spans="1:85" s="910" customFormat="1" ht="18" customHeight="1" x14ac:dyDescent="0.25">
      <c r="A108" s="369" t="s">
        <v>786</v>
      </c>
      <c r="B108" s="369" t="str">
        <f>'ADU-124'!B$3:E$3</f>
        <v>Agroforesterie/déchets</v>
      </c>
      <c r="C108" s="900" t="str">
        <f>'ADU-124'!$B$8</f>
        <v>Réseau de haies</v>
      </c>
      <c r="D108" s="901" t="str">
        <f>'ADU-124'!$B$9</f>
        <v>Réintroduction de haies vives</v>
      </c>
      <c r="E108" s="901" t="str">
        <f>'ADU-124'!$B$4</f>
        <v>Agriculture</v>
      </c>
      <c r="F108" s="901" t="str">
        <f>'ADU-124'!$B$12</f>
        <v>Agriculture</v>
      </c>
      <c r="G108" s="901" t="str">
        <f>'ADU-124'!$B$6</f>
        <v>Fonds propres</v>
      </c>
      <c r="H108" s="902">
        <f>'ADU-124'!$B$17</f>
        <v>75000</v>
      </c>
      <c r="I108" s="901" t="str">
        <f>'ADU-124'!$B$7</f>
        <v>Subs RW</v>
      </c>
      <c r="J108" s="902">
        <f>'ADU-124'!$B$18</f>
        <v>52500</v>
      </c>
      <c r="K108" s="902">
        <f>'ADU-124'!$B$21</f>
        <v>1</v>
      </c>
      <c r="L108" s="902">
        <f>'ADU-124'!$B$22</f>
        <v>0</v>
      </c>
      <c r="M108" s="903">
        <f>'ADU-124'!$B$24</f>
        <v>22500</v>
      </c>
      <c r="N108" s="904">
        <f>'ADU-124'!$B$25</f>
        <v>452.68200000000002</v>
      </c>
      <c r="O108" s="905">
        <f t="shared" si="586"/>
        <v>20.119199999999999</v>
      </c>
      <c r="P108" s="906" t="str">
        <f>'ADU-124'!$B$5</f>
        <v>A faire</v>
      </c>
      <c r="Q108" s="907">
        <f>'ADU-124'!$B$16</f>
        <v>2030</v>
      </c>
      <c r="R108" s="908" t="str">
        <f t="shared" si="587"/>
        <v/>
      </c>
      <c r="S108" s="909">
        <f t="shared" si="494"/>
        <v>0</v>
      </c>
      <c r="T108" s="909">
        <f t="shared" si="495"/>
        <v>0</v>
      </c>
      <c r="U108" s="909">
        <f t="shared" si="496"/>
        <v>0</v>
      </c>
      <c r="V108" s="909">
        <f t="shared" si="497"/>
        <v>0</v>
      </c>
      <c r="W108" s="909">
        <f t="shared" si="498"/>
        <v>0</v>
      </c>
      <c r="X108" s="909">
        <f t="shared" si="499"/>
        <v>0</v>
      </c>
      <c r="Y108" s="909">
        <f t="shared" si="500"/>
        <v>0</v>
      </c>
      <c r="AA108" s="909">
        <f t="shared" si="501"/>
        <v>0</v>
      </c>
      <c r="AB108" s="909">
        <f t="shared" si="502"/>
        <v>0</v>
      </c>
      <c r="AC108" s="909">
        <f t="shared" si="503"/>
        <v>0</v>
      </c>
      <c r="AD108" s="909">
        <f t="shared" si="504"/>
        <v>0</v>
      </c>
      <c r="AE108" s="909">
        <f t="shared" si="505"/>
        <v>0</v>
      </c>
      <c r="AF108" s="909">
        <f t="shared" si="506"/>
        <v>0</v>
      </c>
      <c r="AG108" s="909">
        <f t="shared" si="507"/>
        <v>0</v>
      </c>
      <c r="AI108" s="909">
        <f t="shared" si="508"/>
        <v>0</v>
      </c>
      <c r="AJ108" s="909">
        <f t="shared" si="509"/>
        <v>0</v>
      </c>
      <c r="AK108" s="909">
        <f t="shared" si="510"/>
        <v>0</v>
      </c>
      <c r="AL108" s="909">
        <f t="shared" si="511"/>
        <v>0</v>
      </c>
      <c r="AM108" s="909">
        <f t="shared" si="512"/>
        <v>0</v>
      </c>
      <c r="AN108" s="909">
        <f t="shared" si="513"/>
        <v>0</v>
      </c>
      <c r="AO108" s="909">
        <f t="shared" si="514"/>
        <v>0</v>
      </c>
      <c r="AQ108" s="909">
        <f t="shared" si="515"/>
        <v>0</v>
      </c>
      <c r="AR108" s="909">
        <f t="shared" si="516"/>
        <v>0</v>
      </c>
      <c r="AS108" s="909">
        <f t="shared" si="517"/>
        <v>0</v>
      </c>
      <c r="AT108" s="909">
        <f t="shared" si="518"/>
        <v>0</v>
      </c>
      <c r="AU108" s="909">
        <f t="shared" si="519"/>
        <v>0</v>
      </c>
      <c r="AV108" s="909">
        <f t="shared" si="520"/>
        <v>0</v>
      </c>
      <c r="AW108" s="909">
        <f t="shared" si="521"/>
        <v>0</v>
      </c>
      <c r="AY108" s="909">
        <f t="shared" si="522"/>
        <v>0</v>
      </c>
      <c r="AZ108" s="909">
        <f t="shared" si="523"/>
        <v>0</v>
      </c>
      <c r="BA108" s="909">
        <f t="shared" si="524"/>
        <v>0</v>
      </c>
      <c r="BB108" s="909">
        <f t="shared" si="525"/>
        <v>0</v>
      </c>
      <c r="BC108" s="909">
        <f t="shared" si="526"/>
        <v>0</v>
      </c>
      <c r="BD108" s="909">
        <f t="shared" si="527"/>
        <v>0</v>
      </c>
      <c r="BE108" s="909">
        <f t="shared" si="528"/>
        <v>0</v>
      </c>
      <c r="BG108" s="909">
        <f t="shared" si="529"/>
        <v>0</v>
      </c>
      <c r="BH108" s="909">
        <f t="shared" si="530"/>
        <v>0</v>
      </c>
      <c r="BI108" s="909">
        <f t="shared" si="531"/>
        <v>0</v>
      </c>
      <c r="BJ108" s="909">
        <f t="shared" si="532"/>
        <v>0</v>
      </c>
      <c r="BK108" s="911">
        <f t="shared" si="393"/>
        <v>0</v>
      </c>
      <c r="BL108" s="909">
        <f t="shared" si="533"/>
        <v>0</v>
      </c>
      <c r="BN108" s="909">
        <f t="shared" si="534"/>
        <v>0</v>
      </c>
      <c r="BO108" s="909">
        <f t="shared" si="535"/>
        <v>0</v>
      </c>
      <c r="BP108" s="909">
        <f t="shared" si="536"/>
        <v>0</v>
      </c>
      <c r="BQ108" s="909">
        <f t="shared" si="537"/>
        <v>0</v>
      </c>
      <c r="BR108" s="911">
        <f t="shared" si="394"/>
        <v>0</v>
      </c>
      <c r="BS108" s="909">
        <f t="shared" si="538"/>
        <v>0</v>
      </c>
      <c r="BT108" s="912"/>
      <c r="BU108" s="912"/>
      <c r="BV108" s="912"/>
      <c r="BW108" s="912"/>
      <c r="BX108" s="912"/>
      <c r="BY108" s="912"/>
      <c r="BZ108" s="912"/>
      <c r="CA108" s="912"/>
      <c r="CB108" s="912"/>
      <c r="CC108" s="912"/>
      <c r="CD108" s="912"/>
      <c r="CE108" s="912"/>
      <c r="CF108" s="912"/>
      <c r="CG108" s="912"/>
    </row>
    <row r="109" spans="1:85" s="871" customFormat="1" ht="18" customHeight="1" x14ac:dyDescent="0.25">
      <c r="A109" s="371" t="s">
        <v>785</v>
      </c>
      <c r="B109" s="371" t="str">
        <f>'ADU-140'!B$3:E$3</f>
        <v>Eclairage public</v>
      </c>
      <c r="C109" s="861" t="str">
        <f>'ADU-140'!$B$8</f>
        <v>Eclairage public</v>
      </c>
      <c r="D109" s="862" t="str">
        <f>'ADU-140'!$B$9</f>
        <v>Plan EPURE</v>
      </c>
      <c r="E109" s="862" t="str">
        <f>'ADU-140'!$B$4</f>
        <v>Territoire</v>
      </c>
      <c r="F109" s="862" t="str">
        <f>'ADU-140'!$B$12</f>
        <v>AC MESSANCY</v>
      </c>
      <c r="G109" s="862" t="str">
        <f>'ADU-140'!$B$6</f>
        <v>1/3 invest</v>
      </c>
      <c r="H109" s="863">
        <f>'ADU-140'!$B$17</f>
        <v>55000</v>
      </c>
      <c r="I109" s="862" t="str">
        <f>'ADU-140'!$B$7</f>
        <v>Néant</v>
      </c>
      <c r="J109" s="863">
        <f>'ADU-140'!$B$18</f>
        <v>0</v>
      </c>
      <c r="K109" s="863">
        <f>'ADU-140'!$B$21</f>
        <v>38783.285999999993</v>
      </c>
      <c r="L109" s="863">
        <f>'ADU-140'!$B$22</f>
        <v>0</v>
      </c>
      <c r="M109" s="864">
        <f>'ADU-140'!$B$24</f>
        <v>1.4181366684607388</v>
      </c>
      <c r="N109" s="865">
        <f>'ADU-140'!$B$25</f>
        <v>119.3663358</v>
      </c>
      <c r="O109" s="866">
        <f t="shared" si="586"/>
        <v>2.1702970145454543</v>
      </c>
      <c r="P109" s="867" t="str">
        <f>'ADU-140'!$B$5</f>
        <v>A faire</v>
      </c>
      <c r="Q109" s="868">
        <f>'ADU-140'!$B$16</f>
        <v>2025</v>
      </c>
      <c r="R109" s="869" t="str">
        <f t="shared" si="587"/>
        <v/>
      </c>
      <c r="S109" s="870">
        <f t="shared" si="494"/>
        <v>0</v>
      </c>
      <c r="T109" s="870">
        <f t="shared" si="495"/>
        <v>0</v>
      </c>
      <c r="U109" s="870">
        <f t="shared" si="496"/>
        <v>0</v>
      </c>
      <c r="V109" s="870">
        <f t="shared" si="497"/>
        <v>0</v>
      </c>
      <c r="W109" s="870">
        <f t="shared" si="498"/>
        <v>0</v>
      </c>
      <c r="X109" s="870">
        <f t="shared" si="499"/>
        <v>0</v>
      </c>
      <c r="Y109" s="870">
        <f t="shared" si="500"/>
        <v>0</v>
      </c>
      <c r="AA109" s="870">
        <f t="shared" si="501"/>
        <v>0</v>
      </c>
      <c r="AB109" s="870">
        <f t="shared" si="502"/>
        <v>0</v>
      </c>
      <c r="AC109" s="870">
        <f t="shared" si="503"/>
        <v>0</v>
      </c>
      <c r="AD109" s="870">
        <f t="shared" si="504"/>
        <v>0</v>
      </c>
      <c r="AE109" s="870">
        <f t="shared" si="505"/>
        <v>0</v>
      </c>
      <c r="AF109" s="870">
        <f t="shared" si="506"/>
        <v>0</v>
      </c>
      <c r="AG109" s="870">
        <f t="shared" si="507"/>
        <v>0</v>
      </c>
      <c r="AI109" s="870">
        <f t="shared" si="508"/>
        <v>0</v>
      </c>
      <c r="AJ109" s="870">
        <f t="shared" si="509"/>
        <v>0</v>
      </c>
      <c r="AK109" s="870">
        <f t="shared" si="510"/>
        <v>0</v>
      </c>
      <c r="AL109" s="870">
        <f t="shared" si="511"/>
        <v>0</v>
      </c>
      <c r="AM109" s="870">
        <f t="shared" si="512"/>
        <v>0</v>
      </c>
      <c r="AN109" s="870">
        <f t="shared" si="513"/>
        <v>0</v>
      </c>
      <c r="AO109" s="870">
        <f t="shared" si="514"/>
        <v>0</v>
      </c>
      <c r="AQ109" s="870">
        <f t="shared" si="515"/>
        <v>0</v>
      </c>
      <c r="AR109" s="870">
        <f t="shared" si="516"/>
        <v>0</v>
      </c>
      <c r="AS109" s="870">
        <f t="shared" si="517"/>
        <v>0</v>
      </c>
      <c r="AT109" s="870">
        <f t="shared" si="518"/>
        <v>0</v>
      </c>
      <c r="AU109" s="870">
        <f t="shared" si="519"/>
        <v>0</v>
      </c>
      <c r="AV109" s="870">
        <f t="shared" si="520"/>
        <v>0</v>
      </c>
      <c r="AW109" s="870">
        <f t="shared" si="521"/>
        <v>0</v>
      </c>
      <c r="AY109" s="870">
        <f t="shared" si="522"/>
        <v>0</v>
      </c>
      <c r="AZ109" s="870">
        <f t="shared" si="523"/>
        <v>0</v>
      </c>
      <c r="BA109" s="870">
        <f t="shared" si="524"/>
        <v>0</v>
      </c>
      <c r="BB109" s="870">
        <f t="shared" si="525"/>
        <v>0</v>
      </c>
      <c r="BC109" s="870">
        <f t="shared" si="526"/>
        <v>0</v>
      </c>
      <c r="BD109" s="870">
        <f t="shared" si="527"/>
        <v>0</v>
      </c>
      <c r="BE109" s="870">
        <f t="shared" si="528"/>
        <v>0</v>
      </c>
      <c r="BG109" s="870">
        <f t="shared" si="529"/>
        <v>0</v>
      </c>
      <c r="BH109" s="870">
        <f t="shared" si="530"/>
        <v>0</v>
      </c>
      <c r="BI109" s="870">
        <f t="shared" si="531"/>
        <v>0</v>
      </c>
      <c r="BJ109" s="870">
        <f t="shared" si="532"/>
        <v>0</v>
      </c>
      <c r="BK109" s="872">
        <f t="shared" si="393"/>
        <v>0</v>
      </c>
      <c r="BL109" s="870">
        <f t="shared" si="533"/>
        <v>0</v>
      </c>
      <c r="BN109" s="870">
        <f t="shared" si="534"/>
        <v>0</v>
      </c>
      <c r="BO109" s="870">
        <f t="shared" si="535"/>
        <v>0</v>
      </c>
      <c r="BP109" s="870">
        <f t="shared" si="536"/>
        <v>0</v>
      </c>
      <c r="BQ109" s="870">
        <f t="shared" si="537"/>
        <v>0</v>
      </c>
      <c r="BR109" s="872">
        <f t="shared" si="394"/>
        <v>0</v>
      </c>
      <c r="BS109" s="870">
        <f t="shared" si="538"/>
        <v>0</v>
      </c>
    </row>
    <row r="110" spans="1:85" s="139" customFormat="1" ht="18" customHeight="1" x14ac:dyDescent="0.25">
      <c r="A110" s="371" t="s">
        <v>617</v>
      </c>
      <c r="B110" s="141" t="str">
        <f>'ADA-1'!B$3:E$3</f>
        <v>Gestion communale</v>
      </c>
      <c r="C110" s="419" t="str">
        <f>'ADA-1'!$B$8</f>
        <v>Gestion de crises</v>
      </c>
      <c r="D110" s="133" t="str">
        <f>'ADA-8'!$B$9</f>
        <v>Réduction de la pression sur les ressources en eau</v>
      </c>
      <c r="E110" s="133" t="str">
        <f>'ADA-1'!$B$4</f>
        <v>Territoire</v>
      </c>
      <c r="F110" s="133" t="str">
        <f>'ADA-1'!$B$12</f>
        <v>AC MESSANCY</v>
      </c>
      <c r="G110" s="133" t="str">
        <f>'ADA-1'!$B$6</f>
        <v>Néant</v>
      </c>
      <c r="H110" s="134">
        <f>'ADA-1'!$B$17</f>
        <v>0</v>
      </c>
      <c r="I110" s="133" t="str">
        <f>'ADA-1'!$B$7</f>
        <v>Néant</v>
      </c>
      <c r="J110" s="134">
        <f>'ADA-1'!$B$18</f>
        <v>0</v>
      </c>
      <c r="K110" s="134">
        <f>'ADA-1'!$B$21</f>
        <v>1</v>
      </c>
      <c r="L110" s="134">
        <f>'ADA-1'!$B$22</f>
        <v>0</v>
      </c>
      <c r="M110" s="135">
        <f>'ADA-1'!$B$24</f>
        <v>0</v>
      </c>
      <c r="N110" s="220">
        <f>'ADA-1'!$B$25</f>
        <v>0</v>
      </c>
      <c r="O110" s="136">
        <f t="shared" si="586"/>
        <v>0</v>
      </c>
      <c r="P110" s="137" t="str">
        <f>'ADA-1'!$B$5</f>
        <v>Terminé</v>
      </c>
      <c r="Q110" s="140">
        <f>'ADA-1'!$B$16</f>
        <v>2012</v>
      </c>
      <c r="R110" s="283">
        <f t="shared" si="587"/>
        <v>0</v>
      </c>
      <c r="S110" s="138">
        <f t="shared" si="494"/>
        <v>0</v>
      </c>
      <c r="T110" s="138">
        <f t="shared" si="495"/>
        <v>0</v>
      </c>
      <c r="U110" s="138">
        <f t="shared" si="496"/>
        <v>0</v>
      </c>
      <c r="V110" s="138">
        <f t="shared" si="497"/>
        <v>0</v>
      </c>
      <c r="W110" s="138">
        <f t="shared" si="498"/>
        <v>0</v>
      </c>
      <c r="X110" s="138">
        <f t="shared" si="499"/>
        <v>0</v>
      </c>
      <c r="Y110" s="138">
        <f t="shared" si="500"/>
        <v>0</v>
      </c>
      <c r="AA110" s="138">
        <f t="shared" si="501"/>
        <v>0</v>
      </c>
      <c r="AB110" s="138">
        <f t="shared" si="502"/>
        <v>0</v>
      </c>
      <c r="AC110" s="138">
        <f t="shared" si="503"/>
        <v>0</v>
      </c>
      <c r="AD110" s="138">
        <f t="shared" si="504"/>
        <v>0</v>
      </c>
      <c r="AE110" s="138">
        <f t="shared" si="505"/>
        <v>0</v>
      </c>
      <c r="AF110" s="138">
        <f t="shared" si="506"/>
        <v>0</v>
      </c>
      <c r="AG110" s="138">
        <f t="shared" si="507"/>
        <v>0</v>
      </c>
      <c r="AI110" s="138">
        <f t="shared" si="508"/>
        <v>0</v>
      </c>
      <c r="AJ110" s="138">
        <f t="shared" si="509"/>
        <v>0</v>
      </c>
      <c r="AK110" s="138">
        <f t="shared" si="510"/>
        <v>0</v>
      </c>
      <c r="AL110" s="138">
        <f t="shared" si="511"/>
        <v>0</v>
      </c>
      <c r="AM110" s="138">
        <f t="shared" si="512"/>
        <v>0</v>
      </c>
      <c r="AN110" s="138">
        <f t="shared" si="513"/>
        <v>0</v>
      </c>
      <c r="AO110" s="138">
        <f t="shared" si="514"/>
        <v>0</v>
      </c>
      <c r="AQ110" s="138">
        <f t="shared" si="515"/>
        <v>1</v>
      </c>
      <c r="AR110" s="138">
        <f t="shared" si="516"/>
        <v>0</v>
      </c>
      <c r="AS110" s="138">
        <f t="shared" si="517"/>
        <v>0</v>
      </c>
      <c r="AT110" s="138">
        <f t="shared" si="518"/>
        <v>0</v>
      </c>
      <c r="AU110" s="138">
        <f t="shared" si="519"/>
        <v>0</v>
      </c>
      <c r="AV110" s="138">
        <f t="shared" si="520"/>
        <v>0</v>
      </c>
      <c r="AW110" s="138">
        <f t="shared" si="521"/>
        <v>0</v>
      </c>
      <c r="AY110" s="138">
        <f t="shared" si="522"/>
        <v>0</v>
      </c>
      <c r="AZ110" s="138">
        <f t="shared" si="523"/>
        <v>0</v>
      </c>
      <c r="BA110" s="138">
        <f t="shared" si="524"/>
        <v>0</v>
      </c>
      <c r="BB110" s="138">
        <f t="shared" si="525"/>
        <v>0</v>
      </c>
      <c r="BC110" s="138">
        <f t="shared" si="526"/>
        <v>0</v>
      </c>
      <c r="BD110" s="138">
        <f t="shared" si="527"/>
        <v>0</v>
      </c>
      <c r="BE110" s="138">
        <f t="shared" si="528"/>
        <v>0</v>
      </c>
      <c r="BG110" s="138">
        <f t="shared" si="529"/>
        <v>0</v>
      </c>
      <c r="BH110" s="138">
        <f t="shared" si="530"/>
        <v>0</v>
      </c>
      <c r="BI110" s="138">
        <f t="shared" si="531"/>
        <v>0</v>
      </c>
      <c r="BJ110" s="138">
        <f t="shared" si="532"/>
        <v>0</v>
      </c>
      <c r="BK110" s="452">
        <f t="shared" si="393"/>
        <v>0</v>
      </c>
      <c r="BL110" s="138">
        <f t="shared" si="533"/>
        <v>0</v>
      </c>
      <c r="BN110" s="138">
        <f t="shared" si="534"/>
        <v>0</v>
      </c>
      <c r="BO110" s="138">
        <f t="shared" si="535"/>
        <v>0</v>
      </c>
      <c r="BP110" s="138">
        <f t="shared" si="536"/>
        <v>0</v>
      </c>
      <c r="BQ110" s="138">
        <f t="shared" si="537"/>
        <v>0</v>
      </c>
      <c r="BR110" s="452">
        <f t="shared" si="394"/>
        <v>0</v>
      </c>
      <c r="BS110" s="138">
        <f t="shared" si="538"/>
        <v>0</v>
      </c>
      <c r="BT110" s="30"/>
      <c r="BU110" s="30"/>
      <c r="BV110" s="30"/>
      <c r="BW110" s="30"/>
      <c r="BX110" s="30"/>
      <c r="BY110" s="30"/>
      <c r="BZ110" s="30"/>
      <c r="CA110" s="30"/>
      <c r="CB110" s="30"/>
      <c r="CC110" s="30"/>
      <c r="CD110" s="30"/>
      <c r="CE110" s="30"/>
      <c r="CF110" s="30"/>
      <c r="CG110" s="30"/>
    </row>
    <row r="111" spans="1:85" s="139" customFormat="1" ht="18" customHeight="1" x14ac:dyDescent="0.25">
      <c r="A111" s="371" t="s">
        <v>618</v>
      </c>
      <c r="B111" s="141" t="str">
        <f>'ADA-2'!B$3:E$3</f>
        <v>Gestion communale</v>
      </c>
      <c r="C111" s="419" t="str">
        <f>'ADA-2'!$B$8</f>
        <v>Agriculteurs</v>
      </c>
      <c r="D111" s="133" t="str">
        <f>'ADA-2'!$B$9</f>
        <v>Concertation avec le monde agricole</v>
      </c>
      <c r="E111" s="133" t="str">
        <f>'ADA-2'!$B$4</f>
        <v>Agriculture</v>
      </c>
      <c r="F111" s="133" t="str">
        <f>'ADA-2'!$B$12</f>
        <v>AC MESSANCY</v>
      </c>
      <c r="G111" s="133" t="str">
        <f>'ADA-2'!$B$6</f>
        <v>Néant</v>
      </c>
      <c r="H111" s="134">
        <f>'ADA-2'!$B$17</f>
        <v>0</v>
      </c>
      <c r="I111" s="133" t="str">
        <f>'ADA-2'!$B$7</f>
        <v>Néant</v>
      </c>
      <c r="J111" s="134">
        <f>'ADA-2'!$B$18</f>
        <v>0</v>
      </c>
      <c r="K111" s="134">
        <f>'ADA-2'!$B$21</f>
        <v>1</v>
      </c>
      <c r="L111" s="134">
        <f>'ADA-2'!$B$22</f>
        <v>0</v>
      </c>
      <c r="M111" s="135">
        <f>'ADA-2'!$B$24</f>
        <v>0</v>
      </c>
      <c r="N111" s="220">
        <f>'ADA-2'!$B$25</f>
        <v>0</v>
      </c>
      <c r="O111" s="136">
        <f t="shared" si="586"/>
        <v>0</v>
      </c>
      <c r="P111" s="137" t="str">
        <f>'ADA-2'!$B$5</f>
        <v>A faire</v>
      </c>
      <c r="Q111" s="140">
        <f>'ADA-2'!$B$16</f>
        <v>2025</v>
      </c>
      <c r="R111" s="283" t="str">
        <f t="shared" si="587"/>
        <v/>
      </c>
      <c r="S111" s="138">
        <f t="shared" si="494"/>
        <v>0</v>
      </c>
      <c r="T111" s="138">
        <f t="shared" si="495"/>
        <v>0</v>
      </c>
      <c r="U111" s="138">
        <f t="shared" si="496"/>
        <v>0</v>
      </c>
      <c r="V111" s="138">
        <f t="shared" si="497"/>
        <v>0</v>
      </c>
      <c r="W111" s="138">
        <f t="shared" si="498"/>
        <v>0</v>
      </c>
      <c r="X111" s="138">
        <f t="shared" si="499"/>
        <v>0</v>
      </c>
      <c r="Y111" s="138">
        <f t="shared" si="500"/>
        <v>0</v>
      </c>
      <c r="AA111" s="138">
        <f t="shared" si="501"/>
        <v>0</v>
      </c>
      <c r="AB111" s="138">
        <f t="shared" si="502"/>
        <v>0</v>
      </c>
      <c r="AC111" s="138">
        <f t="shared" si="503"/>
        <v>0</v>
      </c>
      <c r="AD111" s="138">
        <f t="shared" si="504"/>
        <v>0</v>
      </c>
      <c r="AE111" s="138">
        <f t="shared" si="505"/>
        <v>0</v>
      </c>
      <c r="AF111" s="138">
        <f t="shared" si="506"/>
        <v>0</v>
      </c>
      <c r="AG111" s="138">
        <f t="shared" si="507"/>
        <v>0</v>
      </c>
      <c r="AI111" s="138">
        <f t="shared" si="508"/>
        <v>0</v>
      </c>
      <c r="AJ111" s="138">
        <f t="shared" si="509"/>
        <v>0</v>
      </c>
      <c r="AK111" s="138">
        <f t="shared" si="510"/>
        <v>0</v>
      </c>
      <c r="AL111" s="138">
        <f t="shared" si="511"/>
        <v>0</v>
      </c>
      <c r="AM111" s="138">
        <f t="shared" si="512"/>
        <v>0</v>
      </c>
      <c r="AN111" s="138">
        <f t="shared" si="513"/>
        <v>0</v>
      </c>
      <c r="AO111" s="138">
        <f t="shared" si="514"/>
        <v>0</v>
      </c>
      <c r="AQ111" s="138">
        <f t="shared" si="515"/>
        <v>0</v>
      </c>
      <c r="AR111" s="138">
        <f t="shared" si="516"/>
        <v>0</v>
      </c>
      <c r="AS111" s="138">
        <f t="shared" si="517"/>
        <v>0</v>
      </c>
      <c r="AT111" s="138">
        <f t="shared" si="518"/>
        <v>0</v>
      </c>
      <c r="AU111" s="138">
        <f t="shared" si="519"/>
        <v>0</v>
      </c>
      <c r="AV111" s="138">
        <f t="shared" si="520"/>
        <v>0</v>
      </c>
      <c r="AW111" s="138">
        <f t="shared" si="521"/>
        <v>0</v>
      </c>
      <c r="AY111" s="138">
        <f t="shared" si="522"/>
        <v>0</v>
      </c>
      <c r="AZ111" s="138">
        <f t="shared" si="523"/>
        <v>0</v>
      </c>
      <c r="BA111" s="138">
        <f t="shared" si="524"/>
        <v>0</v>
      </c>
      <c r="BB111" s="138">
        <f t="shared" si="525"/>
        <v>0</v>
      </c>
      <c r="BC111" s="138">
        <f t="shared" si="526"/>
        <v>0</v>
      </c>
      <c r="BD111" s="138">
        <f t="shared" si="527"/>
        <v>0</v>
      </c>
      <c r="BE111" s="138">
        <f t="shared" si="528"/>
        <v>0</v>
      </c>
      <c r="BG111" s="138">
        <f t="shared" si="529"/>
        <v>0</v>
      </c>
      <c r="BH111" s="138">
        <f t="shared" si="530"/>
        <v>0</v>
      </c>
      <c r="BI111" s="138">
        <f t="shared" si="531"/>
        <v>0</v>
      </c>
      <c r="BJ111" s="138">
        <f t="shared" si="532"/>
        <v>0</v>
      </c>
      <c r="BK111" s="452">
        <f t="shared" si="393"/>
        <v>0</v>
      </c>
      <c r="BL111" s="138">
        <f t="shared" si="533"/>
        <v>0</v>
      </c>
      <c r="BN111" s="138">
        <f t="shared" si="534"/>
        <v>0</v>
      </c>
      <c r="BO111" s="138">
        <f t="shared" si="535"/>
        <v>0</v>
      </c>
      <c r="BP111" s="138">
        <f t="shared" si="536"/>
        <v>0</v>
      </c>
      <c r="BQ111" s="138">
        <f t="shared" si="537"/>
        <v>0</v>
      </c>
      <c r="BR111" s="452">
        <f t="shared" si="394"/>
        <v>0</v>
      </c>
      <c r="BS111" s="138">
        <f t="shared" si="538"/>
        <v>0</v>
      </c>
      <c r="BT111" s="30"/>
      <c r="BU111" s="30"/>
      <c r="BV111" s="30"/>
      <c r="BW111" s="30"/>
      <c r="BX111" s="30"/>
      <c r="BY111" s="30"/>
      <c r="BZ111" s="30"/>
      <c r="CA111" s="30"/>
      <c r="CB111" s="30"/>
      <c r="CC111" s="30"/>
      <c r="CD111" s="30"/>
      <c r="CE111" s="30"/>
      <c r="CF111" s="30"/>
      <c r="CG111" s="30"/>
    </row>
    <row r="112" spans="1:85" s="139" customFormat="1" ht="18" customHeight="1" x14ac:dyDescent="0.25">
      <c r="A112" s="371" t="s">
        <v>619</v>
      </c>
      <c r="B112" s="141" t="str">
        <f>'ADA-3'!B$3:E$3</f>
        <v>Gestion communale</v>
      </c>
      <c r="C112" s="419" t="str">
        <f>'ADA-3'!$B$8</f>
        <v>Bâtiments</v>
      </c>
      <c r="D112" s="133" t="str">
        <f>'ADA-3'!$B$9</f>
        <v>Protection des bâtiments contre les inondations</v>
      </c>
      <c r="E112" s="133" t="str">
        <f>'ADA-3'!$B$4</f>
        <v>Territoire</v>
      </c>
      <c r="F112" s="133" t="str">
        <f>'ADA-3'!$B$12</f>
        <v>AC MESSANCY</v>
      </c>
      <c r="G112" s="133" t="str">
        <f>'ADA-3'!$B$6</f>
        <v>Néant</v>
      </c>
      <c r="H112" s="134">
        <f>'ADA-3'!$B$17</f>
        <v>50000</v>
      </c>
      <c r="I112" s="133" t="str">
        <f>'ADA-3'!$B$7</f>
        <v>Néant</v>
      </c>
      <c r="J112" s="134">
        <f>'ADA-3'!$B$18</f>
        <v>0</v>
      </c>
      <c r="K112" s="134">
        <f>'ADA-3'!$B$21</f>
        <v>1</v>
      </c>
      <c r="L112" s="134">
        <f>'ADA-3'!$B$22</f>
        <v>0</v>
      </c>
      <c r="M112" s="135">
        <f>'ADA-3'!$B$24</f>
        <v>50000</v>
      </c>
      <c r="N112" s="220">
        <f>'ADA-3'!$B$25</f>
        <v>0</v>
      </c>
      <c r="O112" s="136">
        <f t="shared" ref="O112:O121" si="588">IF(H112=0,0,N112/(H112-J112)*1000)</f>
        <v>0</v>
      </c>
      <c r="P112" s="137" t="str">
        <f>'ADA-3'!$B$5</f>
        <v>Terminé</v>
      </c>
      <c r="Q112" s="140">
        <f>'ADA-3'!$B$16</f>
        <v>2018</v>
      </c>
      <c r="R112" s="283">
        <f t="shared" ref="R112:R121" si="589">IF(P112="terminé", N112,"")</f>
        <v>0</v>
      </c>
      <c r="S112" s="138">
        <f t="shared" si="494"/>
        <v>0</v>
      </c>
      <c r="T112" s="138">
        <f t="shared" si="495"/>
        <v>0</v>
      </c>
      <c r="U112" s="138">
        <f t="shared" si="496"/>
        <v>0</v>
      </c>
      <c r="V112" s="138">
        <f t="shared" si="497"/>
        <v>0</v>
      </c>
      <c r="W112" s="138">
        <f t="shared" si="498"/>
        <v>0</v>
      </c>
      <c r="X112" s="138">
        <f t="shared" si="499"/>
        <v>0</v>
      </c>
      <c r="Y112" s="138">
        <f t="shared" si="500"/>
        <v>0</v>
      </c>
      <c r="AA112" s="138">
        <f t="shared" si="501"/>
        <v>50000</v>
      </c>
      <c r="AB112" s="138">
        <f t="shared" si="502"/>
        <v>0</v>
      </c>
      <c r="AC112" s="138">
        <f t="shared" si="503"/>
        <v>0</v>
      </c>
      <c r="AD112" s="138">
        <f t="shared" si="504"/>
        <v>0</v>
      </c>
      <c r="AE112" s="138">
        <f t="shared" si="505"/>
        <v>0</v>
      </c>
      <c r="AF112" s="138">
        <f t="shared" si="506"/>
        <v>0</v>
      </c>
      <c r="AG112" s="138">
        <f t="shared" si="507"/>
        <v>0</v>
      </c>
      <c r="AI112" s="138">
        <f t="shared" si="508"/>
        <v>0</v>
      </c>
      <c r="AJ112" s="138">
        <f t="shared" si="509"/>
        <v>0</v>
      </c>
      <c r="AK112" s="138">
        <f t="shared" si="510"/>
        <v>0</v>
      </c>
      <c r="AL112" s="138">
        <f t="shared" si="511"/>
        <v>0</v>
      </c>
      <c r="AM112" s="138">
        <f t="shared" si="512"/>
        <v>0</v>
      </c>
      <c r="AN112" s="138">
        <f t="shared" si="513"/>
        <v>0</v>
      </c>
      <c r="AO112" s="138">
        <f t="shared" si="514"/>
        <v>0</v>
      </c>
      <c r="AQ112" s="138">
        <f t="shared" si="515"/>
        <v>1</v>
      </c>
      <c r="AR112" s="138">
        <f t="shared" si="516"/>
        <v>0</v>
      </c>
      <c r="AS112" s="138">
        <f t="shared" si="517"/>
        <v>0</v>
      </c>
      <c r="AT112" s="138">
        <f t="shared" si="518"/>
        <v>0</v>
      </c>
      <c r="AU112" s="138">
        <f t="shared" si="519"/>
        <v>0</v>
      </c>
      <c r="AV112" s="138">
        <f t="shared" si="520"/>
        <v>0</v>
      </c>
      <c r="AW112" s="138">
        <f t="shared" si="521"/>
        <v>0</v>
      </c>
      <c r="AY112" s="138">
        <f t="shared" si="522"/>
        <v>0</v>
      </c>
      <c r="AZ112" s="138">
        <f t="shared" si="523"/>
        <v>0</v>
      </c>
      <c r="BA112" s="138">
        <f t="shared" si="524"/>
        <v>0</v>
      </c>
      <c r="BB112" s="138">
        <f t="shared" si="525"/>
        <v>0</v>
      </c>
      <c r="BC112" s="138">
        <f t="shared" si="526"/>
        <v>0</v>
      </c>
      <c r="BD112" s="138">
        <f t="shared" si="527"/>
        <v>0</v>
      </c>
      <c r="BE112" s="138">
        <f t="shared" si="528"/>
        <v>0</v>
      </c>
      <c r="BG112" s="138">
        <f t="shared" si="529"/>
        <v>0</v>
      </c>
      <c r="BH112" s="138">
        <f t="shared" si="530"/>
        <v>0</v>
      </c>
      <c r="BI112" s="138">
        <f t="shared" si="531"/>
        <v>0</v>
      </c>
      <c r="BJ112" s="138">
        <f t="shared" si="532"/>
        <v>0</v>
      </c>
      <c r="BK112" s="452">
        <f t="shared" si="393"/>
        <v>50000</v>
      </c>
      <c r="BL112" s="138">
        <f t="shared" si="533"/>
        <v>0</v>
      </c>
      <c r="BN112" s="138">
        <f t="shared" si="534"/>
        <v>0</v>
      </c>
      <c r="BO112" s="138">
        <f t="shared" si="535"/>
        <v>0</v>
      </c>
      <c r="BP112" s="138">
        <f t="shared" si="536"/>
        <v>0</v>
      </c>
      <c r="BQ112" s="138">
        <f t="shared" si="537"/>
        <v>0</v>
      </c>
      <c r="BR112" s="452">
        <f t="shared" si="394"/>
        <v>0</v>
      </c>
      <c r="BS112" s="138">
        <f t="shared" si="538"/>
        <v>0</v>
      </c>
      <c r="BT112" s="30"/>
      <c r="BU112" s="30"/>
      <c r="BV112" s="30"/>
      <c r="BW112" s="30"/>
      <c r="BX112" s="30"/>
      <c r="BY112" s="30"/>
      <c r="BZ112" s="30"/>
      <c r="CA112" s="30"/>
      <c r="CB112" s="30"/>
      <c r="CC112" s="30"/>
      <c r="CD112" s="30"/>
      <c r="CE112" s="30"/>
      <c r="CF112" s="30"/>
      <c r="CG112" s="30"/>
    </row>
    <row r="113" spans="1:85" s="139" customFormat="1" ht="18" customHeight="1" x14ac:dyDescent="0.25">
      <c r="A113" s="371" t="s">
        <v>620</v>
      </c>
      <c r="B113" s="141" t="str">
        <f>'ADA-4'!B$3:E$3</f>
        <v>Gestion communale</v>
      </c>
      <c r="C113" s="419" t="str">
        <f>'ADA-4'!$B$8</f>
        <v>Lieux publics</v>
      </c>
      <c r="D113" s="133" t="str">
        <f>'ADA-4'!$B$9</f>
        <v>Protection des lieux publics contre les inondations</v>
      </c>
      <c r="E113" s="133" t="str">
        <f>'ADA-4'!$B$4</f>
        <v>Territoire</v>
      </c>
      <c r="F113" s="133" t="str">
        <f>'ADA-4'!$B$12</f>
        <v>AC MESSANCY</v>
      </c>
      <c r="G113" s="133" t="str">
        <f>'ADA-4'!$B$6</f>
        <v>Néant</v>
      </c>
      <c r="H113" s="134">
        <f>'ADA-4'!$B$17</f>
        <v>18000</v>
      </c>
      <c r="I113" s="133" t="str">
        <f>'ADA-4'!$B$7</f>
        <v>Néant</v>
      </c>
      <c r="J113" s="134">
        <f>'ADA-4'!$B$18</f>
        <v>0</v>
      </c>
      <c r="K113" s="134">
        <f>'ADA-4'!$B$21</f>
        <v>1</v>
      </c>
      <c r="L113" s="134">
        <f>'ADA-4'!$B$22</f>
        <v>0</v>
      </c>
      <c r="M113" s="135">
        <f>'ADA-4'!$B$24</f>
        <v>18000</v>
      </c>
      <c r="N113" s="220">
        <f>'ADA-4'!$B$25</f>
        <v>0</v>
      </c>
      <c r="O113" s="136">
        <f t="shared" si="588"/>
        <v>0</v>
      </c>
      <c r="P113" s="137" t="str">
        <f>'ADA-4'!$B$5</f>
        <v>Terminé</v>
      </c>
      <c r="Q113" s="140">
        <f>'ADA-4'!$B$16</f>
        <v>2018</v>
      </c>
      <c r="R113" s="283">
        <f t="shared" si="589"/>
        <v>0</v>
      </c>
      <c r="S113" s="138">
        <f t="shared" si="494"/>
        <v>0</v>
      </c>
      <c r="T113" s="138">
        <f t="shared" si="495"/>
        <v>0</v>
      </c>
      <c r="U113" s="138">
        <f t="shared" si="496"/>
        <v>0</v>
      </c>
      <c r="V113" s="138">
        <f t="shared" si="497"/>
        <v>0</v>
      </c>
      <c r="W113" s="138">
        <f t="shared" si="498"/>
        <v>0</v>
      </c>
      <c r="X113" s="138">
        <f t="shared" si="499"/>
        <v>0</v>
      </c>
      <c r="Y113" s="138">
        <f t="shared" si="500"/>
        <v>0</v>
      </c>
      <c r="AA113" s="138">
        <f t="shared" si="501"/>
        <v>18000</v>
      </c>
      <c r="AB113" s="138">
        <f t="shared" si="502"/>
        <v>0</v>
      </c>
      <c r="AC113" s="138">
        <f t="shared" si="503"/>
        <v>0</v>
      </c>
      <c r="AD113" s="138">
        <f t="shared" si="504"/>
        <v>0</v>
      </c>
      <c r="AE113" s="138">
        <f t="shared" si="505"/>
        <v>0</v>
      </c>
      <c r="AF113" s="138">
        <f t="shared" si="506"/>
        <v>0</v>
      </c>
      <c r="AG113" s="138">
        <f t="shared" si="507"/>
        <v>0</v>
      </c>
      <c r="AI113" s="138">
        <f t="shared" si="508"/>
        <v>0</v>
      </c>
      <c r="AJ113" s="138">
        <f t="shared" si="509"/>
        <v>0</v>
      </c>
      <c r="AK113" s="138">
        <f t="shared" si="510"/>
        <v>0</v>
      </c>
      <c r="AL113" s="138">
        <f t="shared" si="511"/>
        <v>0</v>
      </c>
      <c r="AM113" s="138">
        <f t="shared" si="512"/>
        <v>0</v>
      </c>
      <c r="AN113" s="138">
        <f t="shared" si="513"/>
        <v>0</v>
      </c>
      <c r="AO113" s="138">
        <f t="shared" si="514"/>
        <v>0</v>
      </c>
      <c r="AQ113" s="138">
        <f t="shared" si="515"/>
        <v>1</v>
      </c>
      <c r="AR113" s="138">
        <f t="shared" si="516"/>
        <v>0</v>
      </c>
      <c r="AS113" s="138">
        <f t="shared" si="517"/>
        <v>0</v>
      </c>
      <c r="AT113" s="138">
        <f t="shared" si="518"/>
        <v>0</v>
      </c>
      <c r="AU113" s="138">
        <f t="shared" si="519"/>
        <v>0</v>
      </c>
      <c r="AV113" s="138">
        <f t="shared" si="520"/>
        <v>0</v>
      </c>
      <c r="AW113" s="138">
        <f t="shared" si="521"/>
        <v>0</v>
      </c>
      <c r="AY113" s="138">
        <f t="shared" si="522"/>
        <v>0</v>
      </c>
      <c r="AZ113" s="138">
        <f t="shared" si="523"/>
        <v>0</v>
      </c>
      <c r="BA113" s="138">
        <f t="shared" si="524"/>
        <v>0</v>
      </c>
      <c r="BB113" s="138">
        <f t="shared" si="525"/>
        <v>0</v>
      </c>
      <c r="BC113" s="138">
        <f t="shared" si="526"/>
        <v>0</v>
      </c>
      <c r="BD113" s="138">
        <f t="shared" si="527"/>
        <v>0</v>
      </c>
      <c r="BE113" s="138">
        <f t="shared" si="528"/>
        <v>0</v>
      </c>
      <c r="BG113" s="138">
        <f t="shared" si="529"/>
        <v>0</v>
      </c>
      <c r="BH113" s="138">
        <f t="shared" si="530"/>
        <v>0</v>
      </c>
      <c r="BI113" s="138">
        <f t="shared" si="531"/>
        <v>0</v>
      </c>
      <c r="BJ113" s="138">
        <f t="shared" si="532"/>
        <v>0</v>
      </c>
      <c r="BK113" s="452">
        <f t="shared" si="393"/>
        <v>18000</v>
      </c>
      <c r="BL113" s="138">
        <f t="shared" si="533"/>
        <v>0</v>
      </c>
      <c r="BN113" s="138">
        <f t="shared" si="534"/>
        <v>0</v>
      </c>
      <c r="BO113" s="138">
        <f t="shared" si="535"/>
        <v>0</v>
      </c>
      <c r="BP113" s="138">
        <f t="shared" si="536"/>
        <v>0</v>
      </c>
      <c r="BQ113" s="138">
        <f t="shared" si="537"/>
        <v>0</v>
      </c>
      <c r="BR113" s="452">
        <f t="shared" si="394"/>
        <v>0</v>
      </c>
      <c r="BS113" s="138">
        <f t="shared" si="538"/>
        <v>0</v>
      </c>
      <c r="BT113" s="30"/>
      <c r="BU113" s="30"/>
      <c r="BV113" s="30"/>
      <c r="BW113" s="30"/>
      <c r="BX113" s="30"/>
      <c r="BY113" s="30"/>
      <c r="BZ113" s="30"/>
      <c r="CA113" s="30"/>
      <c r="CB113" s="30"/>
      <c r="CC113" s="30"/>
      <c r="CD113" s="30"/>
      <c r="CE113" s="30"/>
      <c r="CF113" s="30"/>
      <c r="CG113" s="30"/>
    </row>
    <row r="114" spans="1:85" s="139" customFormat="1" ht="18" customHeight="1" x14ac:dyDescent="0.25">
      <c r="A114" s="371" t="s">
        <v>621</v>
      </c>
      <c r="B114" s="141" t="str">
        <f>'ADA-5'!B$3:E$3</f>
        <v>Gestion communale</v>
      </c>
      <c r="C114" s="419" t="str">
        <f>'ADA-5'!$B$8</f>
        <v>Eaux pluviales</v>
      </c>
      <c r="D114" s="133" t="str">
        <f>'ADA-5'!$B$9</f>
        <v>Récupération des eaux pluviales</v>
      </c>
      <c r="E114" s="133" t="str">
        <f>'ADA-5'!$B$4</f>
        <v>Territoire</v>
      </c>
      <c r="F114" s="133" t="str">
        <f>'ADA-5'!$B$12</f>
        <v>IDELUX</v>
      </c>
      <c r="G114" s="133" t="str">
        <f>'ADA-5'!$B$6</f>
        <v>Néant</v>
      </c>
      <c r="H114" s="134">
        <f>'ADA-5'!$B$17</f>
        <v>200000</v>
      </c>
      <c r="I114" s="133" t="str">
        <f>'ADA-5'!$B$7</f>
        <v>Néant</v>
      </c>
      <c r="J114" s="134">
        <f>'ADA-5'!$B$18</f>
        <v>60000</v>
      </c>
      <c r="K114" s="134">
        <f>'ADA-5'!$B$21</f>
        <v>1</v>
      </c>
      <c r="L114" s="134">
        <f>'ADA-5'!$B$22</f>
        <v>0</v>
      </c>
      <c r="M114" s="135">
        <f>'ADA-5'!$B$24</f>
        <v>140000</v>
      </c>
      <c r="N114" s="220">
        <f>'ADA-5'!$B$25</f>
        <v>0</v>
      </c>
      <c r="O114" s="136">
        <f t="shared" si="588"/>
        <v>0</v>
      </c>
      <c r="P114" s="137" t="str">
        <f>'ADA-5'!$B$5</f>
        <v>A faire</v>
      </c>
      <c r="Q114" s="140">
        <f>'ADA-5'!$B$16</f>
        <v>2025</v>
      </c>
      <c r="R114" s="283" t="str">
        <f t="shared" si="589"/>
        <v/>
      </c>
      <c r="S114" s="138">
        <f t="shared" si="494"/>
        <v>0</v>
      </c>
      <c r="T114" s="138">
        <f t="shared" si="495"/>
        <v>0</v>
      </c>
      <c r="U114" s="138">
        <f t="shared" si="496"/>
        <v>0</v>
      </c>
      <c r="V114" s="138">
        <f t="shared" si="497"/>
        <v>0</v>
      </c>
      <c r="W114" s="138">
        <f t="shared" si="498"/>
        <v>0</v>
      </c>
      <c r="X114" s="138">
        <f t="shared" si="499"/>
        <v>0</v>
      </c>
      <c r="Y114" s="138">
        <f t="shared" si="500"/>
        <v>0</v>
      </c>
      <c r="AA114" s="138">
        <f t="shared" si="501"/>
        <v>0</v>
      </c>
      <c r="AB114" s="138">
        <f t="shared" si="502"/>
        <v>0</v>
      </c>
      <c r="AC114" s="138">
        <f t="shared" si="503"/>
        <v>0</v>
      </c>
      <c r="AD114" s="138">
        <f t="shared" si="504"/>
        <v>0</v>
      </c>
      <c r="AE114" s="138">
        <f t="shared" si="505"/>
        <v>0</v>
      </c>
      <c r="AF114" s="138">
        <f t="shared" si="506"/>
        <v>0</v>
      </c>
      <c r="AG114" s="138">
        <f t="shared" si="507"/>
        <v>0</v>
      </c>
      <c r="AI114" s="138">
        <f t="shared" si="508"/>
        <v>0</v>
      </c>
      <c r="AJ114" s="138">
        <f t="shared" si="509"/>
        <v>0</v>
      </c>
      <c r="AK114" s="138">
        <f t="shared" si="510"/>
        <v>0</v>
      </c>
      <c r="AL114" s="138">
        <f t="shared" si="511"/>
        <v>0</v>
      </c>
      <c r="AM114" s="138">
        <f t="shared" si="512"/>
        <v>0</v>
      </c>
      <c r="AN114" s="138">
        <f t="shared" si="513"/>
        <v>0</v>
      </c>
      <c r="AO114" s="138">
        <f t="shared" si="514"/>
        <v>0</v>
      </c>
      <c r="AQ114" s="138">
        <f t="shared" si="515"/>
        <v>0</v>
      </c>
      <c r="AR114" s="138">
        <f t="shared" si="516"/>
        <v>0</v>
      </c>
      <c r="AS114" s="138">
        <f t="shared" si="517"/>
        <v>0</v>
      </c>
      <c r="AT114" s="138">
        <f t="shared" si="518"/>
        <v>0</v>
      </c>
      <c r="AU114" s="138">
        <f t="shared" si="519"/>
        <v>0</v>
      </c>
      <c r="AV114" s="138">
        <f t="shared" si="520"/>
        <v>0</v>
      </c>
      <c r="AW114" s="138">
        <f t="shared" si="521"/>
        <v>0</v>
      </c>
      <c r="AY114" s="138">
        <f t="shared" si="522"/>
        <v>0</v>
      </c>
      <c r="AZ114" s="138">
        <f t="shared" si="523"/>
        <v>0</v>
      </c>
      <c r="BA114" s="138">
        <f t="shared" si="524"/>
        <v>0</v>
      </c>
      <c r="BB114" s="138">
        <f t="shared" si="525"/>
        <v>0</v>
      </c>
      <c r="BC114" s="138">
        <f t="shared" si="526"/>
        <v>0</v>
      </c>
      <c r="BD114" s="138">
        <f t="shared" si="527"/>
        <v>0</v>
      </c>
      <c r="BE114" s="138">
        <f t="shared" si="528"/>
        <v>0</v>
      </c>
      <c r="BG114" s="138">
        <f t="shared" si="529"/>
        <v>0</v>
      </c>
      <c r="BH114" s="138">
        <f t="shared" si="530"/>
        <v>0</v>
      </c>
      <c r="BI114" s="138">
        <f t="shared" si="531"/>
        <v>0</v>
      </c>
      <c r="BJ114" s="138">
        <f t="shared" si="532"/>
        <v>0</v>
      </c>
      <c r="BK114" s="452">
        <f t="shared" ref="BK114:BK126" si="590">IF((P114="Terminé")*AND(F114="AC MESSANCY"),H114,0)</f>
        <v>0</v>
      </c>
      <c r="BL114" s="138">
        <f t="shared" si="533"/>
        <v>0</v>
      </c>
      <c r="BN114" s="138">
        <f t="shared" si="534"/>
        <v>0</v>
      </c>
      <c r="BO114" s="138">
        <f t="shared" si="535"/>
        <v>0</v>
      </c>
      <c r="BP114" s="138">
        <f t="shared" si="536"/>
        <v>0</v>
      </c>
      <c r="BQ114" s="138">
        <f t="shared" si="537"/>
        <v>0</v>
      </c>
      <c r="BR114" s="452">
        <f t="shared" ref="BR114:BR126" si="591">IF((P114="Terminé")*AND(F114="AC MESSANCY"),J114,0)</f>
        <v>0</v>
      </c>
      <c r="BS114" s="138">
        <f t="shared" si="538"/>
        <v>0</v>
      </c>
      <c r="BT114" s="30"/>
      <c r="BU114" s="30"/>
      <c r="BV114" s="30"/>
      <c r="BW114" s="30"/>
      <c r="BX114" s="30"/>
      <c r="BY114" s="30"/>
      <c r="BZ114" s="30"/>
      <c r="CA114" s="30"/>
      <c r="CB114" s="30"/>
      <c r="CC114" s="30"/>
      <c r="CD114" s="30"/>
      <c r="CE114" s="30"/>
      <c r="CF114" s="30"/>
      <c r="CG114" s="30"/>
    </row>
    <row r="115" spans="1:85" s="139" customFormat="1" ht="18" customHeight="1" x14ac:dyDescent="0.25">
      <c r="A115" s="371" t="s">
        <v>622</v>
      </c>
      <c r="B115" s="141" t="str">
        <f>'ADA-6'!B$3:E$3</f>
        <v>Gestion communale</v>
      </c>
      <c r="C115" s="419" t="str">
        <f>'ADA-6'!$B$8</f>
        <v>Eaux pluviales</v>
      </c>
      <c r="D115" s="133" t="str">
        <f>'ADA-6'!$B$9</f>
        <v>Gestion alternative des eaux pluviales</v>
      </c>
      <c r="E115" s="133" t="str">
        <f>'ADA-6'!$B$4</f>
        <v>Territoire</v>
      </c>
      <c r="F115" s="133" t="str">
        <f>'ADA-6'!$B$12</f>
        <v>AC MESSANCY</v>
      </c>
      <c r="G115" s="133" t="str">
        <f>'ADA-6'!$B$6</f>
        <v>Néant</v>
      </c>
      <c r="H115" s="134">
        <f>'ADA-6'!$B$17</f>
        <v>100000</v>
      </c>
      <c r="I115" s="133" t="str">
        <f>'ADA-6'!$B$7</f>
        <v>Néant</v>
      </c>
      <c r="J115" s="134">
        <f>'ADA-6'!$B$18</f>
        <v>30000</v>
      </c>
      <c r="K115" s="134">
        <f>'ADA-6'!$B$21</f>
        <v>1</v>
      </c>
      <c r="L115" s="134">
        <f>'ADA-6'!$B$22</f>
        <v>0</v>
      </c>
      <c r="M115" s="135">
        <f>'ADA-6'!$B$24</f>
        <v>70000</v>
      </c>
      <c r="N115" s="220">
        <f>'ADA-6'!$B$25</f>
        <v>0</v>
      </c>
      <c r="O115" s="136">
        <f t="shared" si="588"/>
        <v>0</v>
      </c>
      <c r="P115" s="137" t="str">
        <f>'ADA-6'!$B$5</f>
        <v>Terminé</v>
      </c>
      <c r="Q115" s="140">
        <f>'ADA-6'!$B$16</f>
        <v>2018</v>
      </c>
      <c r="R115" s="283">
        <f t="shared" si="589"/>
        <v>0</v>
      </c>
      <c r="S115" s="138">
        <f t="shared" si="494"/>
        <v>0</v>
      </c>
      <c r="T115" s="138">
        <f t="shared" si="495"/>
        <v>0</v>
      </c>
      <c r="U115" s="138">
        <f t="shared" si="496"/>
        <v>0</v>
      </c>
      <c r="V115" s="138">
        <f t="shared" si="497"/>
        <v>0</v>
      </c>
      <c r="W115" s="138">
        <f t="shared" si="498"/>
        <v>0</v>
      </c>
      <c r="X115" s="138">
        <f t="shared" si="499"/>
        <v>0</v>
      </c>
      <c r="Y115" s="138">
        <f t="shared" si="500"/>
        <v>0</v>
      </c>
      <c r="AA115" s="138">
        <f t="shared" si="501"/>
        <v>100000</v>
      </c>
      <c r="AB115" s="138">
        <f t="shared" si="502"/>
        <v>0</v>
      </c>
      <c r="AC115" s="138">
        <f t="shared" si="503"/>
        <v>0</v>
      </c>
      <c r="AD115" s="138">
        <f t="shared" si="504"/>
        <v>0</v>
      </c>
      <c r="AE115" s="138">
        <f t="shared" si="505"/>
        <v>0</v>
      </c>
      <c r="AF115" s="138">
        <f t="shared" si="506"/>
        <v>0</v>
      </c>
      <c r="AG115" s="138">
        <f t="shared" si="507"/>
        <v>0</v>
      </c>
      <c r="AI115" s="138">
        <f t="shared" si="508"/>
        <v>30000</v>
      </c>
      <c r="AJ115" s="138">
        <f t="shared" si="509"/>
        <v>0</v>
      </c>
      <c r="AK115" s="138">
        <f t="shared" si="510"/>
        <v>0</v>
      </c>
      <c r="AL115" s="138">
        <f t="shared" si="511"/>
        <v>0</v>
      </c>
      <c r="AM115" s="138">
        <f t="shared" si="512"/>
        <v>0</v>
      </c>
      <c r="AN115" s="138">
        <f t="shared" si="513"/>
        <v>0</v>
      </c>
      <c r="AO115" s="138">
        <f t="shared" si="514"/>
        <v>0</v>
      </c>
      <c r="AQ115" s="138">
        <f t="shared" si="515"/>
        <v>1</v>
      </c>
      <c r="AR115" s="138">
        <f t="shared" si="516"/>
        <v>0</v>
      </c>
      <c r="AS115" s="138">
        <f t="shared" si="517"/>
        <v>0</v>
      </c>
      <c r="AT115" s="138">
        <f t="shared" si="518"/>
        <v>0</v>
      </c>
      <c r="AU115" s="138">
        <f t="shared" si="519"/>
        <v>0</v>
      </c>
      <c r="AV115" s="138">
        <f t="shared" si="520"/>
        <v>0</v>
      </c>
      <c r="AW115" s="138">
        <f t="shared" si="521"/>
        <v>0</v>
      </c>
      <c r="AY115" s="138">
        <f t="shared" si="522"/>
        <v>0</v>
      </c>
      <c r="AZ115" s="138">
        <f t="shared" si="523"/>
        <v>0</v>
      </c>
      <c r="BA115" s="138">
        <f t="shared" si="524"/>
        <v>0</v>
      </c>
      <c r="BB115" s="138">
        <f t="shared" si="525"/>
        <v>0</v>
      </c>
      <c r="BC115" s="138">
        <f t="shared" si="526"/>
        <v>0</v>
      </c>
      <c r="BD115" s="138">
        <f t="shared" si="527"/>
        <v>0</v>
      </c>
      <c r="BE115" s="138">
        <f t="shared" si="528"/>
        <v>0</v>
      </c>
      <c r="BG115" s="138">
        <f t="shared" si="529"/>
        <v>0</v>
      </c>
      <c r="BH115" s="138">
        <f t="shared" si="530"/>
        <v>0</v>
      </c>
      <c r="BI115" s="138">
        <f t="shared" si="531"/>
        <v>0</v>
      </c>
      <c r="BJ115" s="138">
        <f t="shared" si="532"/>
        <v>0</v>
      </c>
      <c r="BK115" s="452">
        <f t="shared" si="590"/>
        <v>100000</v>
      </c>
      <c r="BL115" s="138">
        <f t="shared" si="533"/>
        <v>0</v>
      </c>
      <c r="BN115" s="138">
        <f t="shared" si="534"/>
        <v>0</v>
      </c>
      <c r="BO115" s="138">
        <f t="shared" si="535"/>
        <v>0</v>
      </c>
      <c r="BP115" s="138">
        <f t="shared" si="536"/>
        <v>0</v>
      </c>
      <c r="BQ115" s="138">
        <f t="shared" si="537"/>
        <v>0</v>
      </c>
      <c r="BR115" s="452">
        <f t="shared" si="591"/>
        <v>30000</v>
      </c>
      <c r="BS115" s="138">
        <f t="shared" si="538"/>
        <v>0</v>
      </c>
      <c r="BT115" s="30"/>
      <c r="BU115" s="30"/>
      <c r="BV115" s="30"/>
      <c r="BW115" s="30"/>
      <c r="BX115" s="30"/>
      <c r="BY115" s="30"/>
      <c r="BZ115" s="30"/>
      <c r="CA115" s="30"/>
      <c r="CB115" s="30"/>
      <c r="CC115" s="30"/>
      <c r="CD115" s="30"/>
      <c r="CE115" s="30"/>
      <c r="CF115" s="30"/>
      <c r="CG115" s="30"/>
    </row>
    <row r="116" spans="1:85" s="139" customFormat="1" ht="18" customHeight="1" x14ac:dyDescent="0.25">
      <c r="A116" s="371" t="s">
        <v>623</v>
      </c>
      <c r="B116" s="141" t="str">
        <f>'ADA-7'!B$3:E$3</f>
        <v>Gestion communale</v>
      </c>
      <c r="C116" s="419" t="str">
        <f>'ADA-7'!$B$8</f>
        <v>Ilots de chaleur urbain</v>
      </c>
      <c r="D116" s="133" t="str">
        <f>'ADA-7'!$B$9</f>
        <v>Réduction des îlots de chaleur en centre urbain</v>
      </c>
      <c r="E116" s="133" t="str">
        <f>'ADA-7'!$B$4</f>
        <v>Territoire</v>
      </c>
      <c r="F116" s="133" t="str">
        <f>'ADA-7'!$B$12</f>
        <v>AC MESSANCY</v>
      </c>
      <c r="G116" s="133" t="str">
        <f>'ADA-7'!$B$6</f>
        <v>Néant</v>
      </c>
      <c r="H116" s="134">
        <f>'ADA-7'!$B$17</f>
        <v>0</v>
      </c>
      <c r="I116" s="133" t="str">
        <f>'ADA-7'!$B$7</f>
        <v>Néant</v>
      </c>
      <c r="J116" s="134">
        <f>'ADA-7'!$B$18</f>
        <v>0</v>
      </c>
      <c r="K116" s="134">
        <f>'ADA-7'!$B$21</f>
        <v>1</v>
      </c>
      <c r="L116" s="134">
        <f>'ADA-7'!$B$22</f>
        <v>0</v>
      </c>
      <c r="M116" s="135">
        <f>'ADA-7'!$B$24</f>
        <v>0</v>
      </c>
      <c r="N116" s="220">
        <f>'ADA-7'!$B$25</f>
        <v>0</v>
      </c>
      <c r="O116" s="136">
        <f t="shared" si="588"/>
        <v>0</v>
      </c>
      <c r="P116" s="137" t="str">
        <f>'ADA-7'!$B$5</f>
        <v>Ne pas réaliser</v>
      </c>
      <c r="Q116" s="140">
        <f>'ADA-7'!$B$16</f>
        <v>2030</v>
      </c>
      <c r="R116" s="283" t="str">
        <f t="shared" si="589"/>
        <v/>
      </c>
      <c r="S116" s="138">
        <f t="shared" si="494"/>
        <v>0</v>
      </c>
      <c r="T116" s="138">
        <f t="shared" si="495"/>
        <v>0</v>
      </c>
      <c r="U116" s="138">
        <f t="shared" si="496"/>
        <v>0</v>
      </c>
      <c r="V116" s="138">
        <f t="shared" si="497"/>
        <v>0</v>
      </c>
      <c r="W116" s="138">
        <f t="shared" si="498"/>
        <v>0</v>
      </c>
      <c r="X116" s="138">
        <f t="shared" si="499"/>
        <v>0</v>
      </c>
      <c r="Y116" s="138">
        <f t="shared" si="500"/>
        <v>0</v>
      </c>
      <c r="AA116" s="138">
        <f t="shared" si="501"/>
        <v>0</v>
      </c>
      <c r="AB116" s="138">
        <f t="shared" si="502"/>
        <v>0</v>
      </c>
      <c r="AC116" s="138">
        <f t="shared" si="503"/>
        <v>0</v>
      </c>
      <c r="AD116" s="138">
        <f t="shared" si="504"/>
        <v>0</v>
      </c>
      <c r="AE116" s="138">
        <f t="shared" si="505"/>
        <v>0</v>
      </c>
      <c r="AF116" s="138">
        <f t="shared" si="506"/>
        <v>0</v>
      </c>
      <c r="AG116" s="138">
        <f t="shared" si="507"/>
        <v>0</v>
      </c>
      <c r="AI116" s="138">
        <f t="shared" si="508"/>
        <v>0</v>
      </c>
      <c r="AJ116" s="138">
        <f t="shared" si="509"/>
        <v>0</v>
      </c>
      <c r="AK116" s="138">
        <f t="shared" si="510"/>
        <v>0</v>
      </c>
      <c r="AL116" s="138">
        <f t="shared" si="511"/>
        <v>0</v>
      </c>
      <c r="AM116" s="138">
        <f t="shared" si="512"/>
        <v>0</v>
      </c>
      <c r="AN116" s="138">
        <f t="shared" si="513"/>
        <v>0</v>
      </c>
      <c r="AO116" s="138">
        <f t="shared" si="514"/>
        <v>0</v>
      </c>
      <c r="AQ116" s="138">
        <f t="shared" si="515"/>
        <v>0</v>
      </c>
      <c r="AR116" s="138">
        <f t="shared" si="516"/>
        <v>0</v>
      </c>
      <c r="AS116" s="138">
        <f t="shared" si="517"/>
        <v>0</v>
      </c>
      <c r="AT116" s="138">
        <f t="shared" si="518"/>
        <v>0</v>
      </c>
      <c r="AU116" s="138">
        <f t="shared" si="519"/>
        <v>0</v>
      </c>
      <c r="AV116" s="138">
        <f t="shared" si="520"/>
        <v>0</v>
      </c>
      <c r="AW116" s="138">
        <f t="shared" si="521"/>
        <v>0</v>
      </c>
      <c r="AY116" s="138">
        <f t="shared" si="522"/>
        <v>0</v>
      </c>
      <c r="AZ116" s="138">
        <f t="shared" si="523"/>
        <v>0</v>
      </c>
      <c r="BA116" s="138">
        <f t="shared" si="524"/>
        <v>0</v>
      </c>
      <c r="BB116" s="138">
        <f t="shared" si="525"/>
        <v>0</v>
      </c>
      <c r="BC116" s="138">
        <f t="shared" si="526"/>
        <v>0</v>
      </c>
      <c r="BD116" s="138">
        <f t="shared" si="527"/>
        <v>0</v>
      </c>
      <c r="BE116" s="138">
        <f t="shared" si="528"/>
        <v>0</v>
      </c>
      <c r="BG116" s="138">
        <f t="shared" si="529"/>
        <v>0</v>
      </c>
      <c r="BH116" s="138">
        <f t="shared" si="530"/>
        <v>0</v>
      </c>
      <c r="BI116" s="138">
        <f t="shared" si="531"/>
        <v>0</v>
      </c>
      <c r="BJ116" s="138">
        <f t="shared" si="532"/>
        <v>0</v>
      </c>
      <c r="BK116" s="452">
        <f t="shared" si="590"/>
        <v>0</v>
      </c>
      <c r="BL116" s="138">
        <f t="shared" si="533"/>
        <v>0</v>
      </c>
      <c r="BN116" s="138">
        <f t="shared" si="534"/>
        <v>0</v>
      </c>
      <c r="BO116" s="138">
        <f t="shared" si="535"/>
        <v>0</v>
      </c>
      <c r="BP116" s="138">
        <f t="shared" si="536"/>
        <v>0</v>
      </c>
      <c r="BQ116" s="138">
        <f t="shared" si="537"/>
        <v>0</v>
      </c>
      <c r="BR116" s="452">
        <f t="shared" si="591"/>
        <v>0</v>
      </c>
      <c r="BS116" s="138">
        <f t="shared" si="538"/>
        <v>0</v>
      </c>
      <c r="BT116" s="30"/>
      <c r="BU116" s="30"/>
      <c r="BV116" s="30"/>
      <c r="BW116" s="30"/>
      <c r="BX116" s="30"/>
      <c r="BY116" s="30"/>
      <c r="BZ116" s="30"/>
      <c r="CA116" s="30"/>
      <c r="CB116" s="30"/>
      <c r="CC116" s="30"/>
      <c r="CD116" s="30"/>
      <c r="CE116" s="30"/>
      <c r="CF116" s="30"/>
      <c r="CG116" s="30"/>
    </row>
    <row r="117" spans="1:85" s="139" customFormat="1" ht="18" customHeight="1" x14ac:dyDescent="0.25">
      <c r="A117" s="371" t="s">
        <v>624</v>
      </c>
      <c r="B117" s="141" t="str">
        <f>'ADA-8'!B$3:E$3</f>
        <v>Gestion communale</v>
      </c>
      <c r="C117" s="419" t="str">
        <f>'ADA-8'!$B$8</f>
        <v>Ressources en eau</v>
      </c>
      <c r="D117" s="133" t="str">
        <f>'ADA-8'!$B$9</f>
        <v>Réduction de la pression sur les ressources en eau</v>
      </c>
      <c r="E117" s="133" t="str">
        <f>'ADA-8'!$B$4</f>
        <v>Territoire</v>
      </c>
      <c r="F117" s="133" t="str">
        <f>'ADA-8'!$B$12</f>
        <v>AC MESSANCY</v>
      </c>
      <c r="G117" s="133" t="str">
        <f>'ADA-8'!$B$6</f>
        <v>Néant</v>
      </c>
      <c r="H117" s="134">
        <f>'ADA-8'!$B$17</f>
        <v>10000</v>
      </c>
      <c r="I117" s="133" t="str">
        <f>'ADA-8'!$B$7</f>
        <v>Néant</v>
      </c>
      <c r="J117" s="134">
        <f>'ADA-8'!$B$18</f>
        <v>0</v>
      </c>
      <c r="K117" s="134">
        <f>'ADA-8'!$B$21</f>
        <v>1</v>
      </c>
      <c r="L117" s="134">
        <f>'ADA-8'!$B$22</f>
        <v>0</v>
      </c>
      <c r="M117" s="135">
        <f>'ADA-8'!$B$24</f>
        <v>10000</v>
      </c>
      <c r="N117" s="220">
        <f>'ADA-8'!$B$25</f>
        <v>0</v>
      </c>
      <c r="O117" s="136">
        <f t="shared" si="588"/>
        <v>0</v>
      </c>
      <c r="P117" s="137" t="str">
        <f>'ADA-8'!$B$5</f>
        <v>A faire</v>
      </c>
      <c r="Q117" s="140">
        <f>'ADA-8'!$B$16</f>
        <v>2030</v>
      </c>
      <c r="R117" s="283" t="str">
        <f t="shared" si="589"/>
        <v/>
      </c>
      <c r="S117" s="138">
        <f t="shared" si="494"/>
        <v>0</v>
      </c>
      <c r="T117" s="138">
        <f t="shared" si="495"/>
        <v>0</v>
      </c>
      <c r="U117" s="138">
        <f t="shared" si="496"/>
        <v>0</v>
      </c>
      <c r="V117" s="138">
        <f t="shared" si="497"/>
        <v>0</v>
      </c>
      <c r="W117" s="138">
        <f t="shared" si="498"/>
        <v>0</v>
      </c>
      <c r="X117" s="138">
        <f t="shared" si="499"/>
        <v>0</v>
      </c>
      <c r="Y117" s="138">
        <f t="shared" si="500"/>
        <v>0</v>
      </c>
      <c r="AA117" s="138">
        <f t="shared" si="501"/>
        <v>0</v>
      </c>
      <c r="AB117" s="138">
        <f t="shared" si="502"/>
        <v>0</v>
      </c>
      <c r="AC117" s="138">
        <f t="shared" si="503"/>
        <v>0</v>
      </c>
      <c r="AD117" s="138">
        <f t="shared" si="504"/>
        <v>0</v>
      </c>
      <c r="AE117" s="138">
        <f t="shared" si="505"/>
        <v>0</v>
      </c>
      <c r="AF117" s="138">
        <f t="shared" si="506"/>
        <v>0</v>
      </c>
      <c r="AG117" s="138">
        <f t="shared" si="507"/>
        <v>0</v>
      </c>
      <c r="AI117" s="138">
        <f t="shared" si="508"/>
        <v>0</v>
      </c>
      <c r="AJ117" s="138">
        <f t="shared" si="509"/>
        <v>0</v>
      </c>
      <c r="AK117" s="138">
        <f t="shared" si="510"/>
        <v>0</v>
      </c>
      <c r="AL117" s="138">
        <f t="shared" si="511"/>
        <v>0</v>
      </c>
      <c r="AM117" s="138">
        <f t="shared" si="512"/>
        <v>0</v>
      </c>
      <c r="AN117" s="138">
        <f t="shared" si="513"/>
        <v>0</v>
      </c>
      <c r="AO117" s="138">
        <f t="shared" si="514"/>
        <v>0</v>
      </c>
      <c r="AQ117" s="138">
        <f t="shared" si="515"/>
        <v>0</v>
      </c>
      <c r="AR117" s="138">
        <f t="shared" si="516"/>
        <v>0</v>
      </c>
      <c r="AS117" s="138">
        <f t="shared" si="517"/>
        <v>0</v>
      </c>
      <c r="AT117" s="138">
        <f t="shared" si="518"/>
        <v>0</v>
      </c>
      <c r="AU117" s="138">
        <f t="shared" si="519"/>
        <v>0</v>
      </c>
      <c r="AV117" s="138">
        <f t="shared" si="520"/>
        <v>0</v>
      </c>
      <c r="AW117" s="138">
        <f t="shared" si="521"/>
        <v>0</v>
      </c>
      <c r="AY117" s="138">
        <f t="shared" si="522"/>
        <v>0</v>
      </c>
      <c r="AZ117" s="138">
        <f t="shared" si="523"/>
        <v>0</v>
      </c>
      <c r="BA117" s="138">
        <f t="shared" si="524"/>
        <v>0</v>
      </c>
      <c r="BB117" s="138">
        <f t="shared" si="525"/>
        <v>0</v>
      </c>
      <c r="BC117" s="138">
        <f t="shared" si="526"/>
        <v>0</v>
      </c>
      <c r="BD117" s="138">
        <f t="shared" si="527"/>
        <v>0</v>
      </c>
      <c r="BE117" s="138">
        <f t="shared" si="528"/>
        <v>0</v>
      </c>
      <c r="BG117" s="138">
        <f t="shared" si="529"/>
        <v>0</v>
      </c>
      <c r="BH117" s="138">
        <f t="shared" si="530"/>
        <v>0</v>
      </c>
      <c r="BI117" s="138">
        <f t="shared" si="531"/>
        <v>0</v>
      </c>
      <c r="BJ117" s="138">
        <f t="shared" si="532"/>
        <v>0</v>
      </c>
      <c r="BK117" s="452">
        <f t="shared" si="590"/>
        <v>0</v>
      </c>
      <c r="BL117" s="138">
        <f t="shared" si="533"/>
        <v>0</v>
      </c>
      <c r="BN117" s="138">
        <f t="shared" si="534"/>
        <v>0</v>
      </c>
      <c r="BO117" s="138">
        <f t="shared" si="535"/>
        <v>0</v>
      </c>
      <c r="BP117" s="138">
        <f t="shared" si="536"/>
        <v>0</v>
      </c>
      <c r="BQ117" s="138">
        <f t="shared" si="537"/>
        <v>0</v>
      </c>
      <c r="BR117" s="452">
        <f t="shared" si="591"/>
        <v>0</v>
      </c>
      <c r="BS117" s="138">
        <f t="shared" si="538"/>
        <v>0</v>
      </c>
      <c r="BT117" s="30"/>
      <c r="BU117" s="30"/>
      <c r="BV117" s="30"/>
      <c r="BW117" s="30"/>
      <c r="BX117" s="30"/>
      <c r="BY117" s="30"/>
      <c r="BZ117" s="30"/>
      <c r="CA117" s="30"/>
      <c r="CB117" s="30"/>
      <c r="CC117" s="30"/>
      <c r="CD117" s="30"/>
      <c r="CE117" s="30"/>
      <c r="CF117" s="30"/>
      <c r="CG117" s="30"/>
    </row>
    <row r="118" spans="1:85" s="139" customFormat="1" ht="18" customHeight="1" x14ac:dyDescent="0.25">
      <c r="A118" s="371" t="s">
        <v>625</v>
      </c>
      <c r="B118" s="141" t="str">
        <f>'ADA-9'!B$3:E$3</f>
        <v>Gestion communale</v>
      </c>
      <c r="C118" s="419" t="str">
        <f>'ADA-9'!$B$8</f>
        <v>Cultures et élevage</v>
      </c>
      <c r="D118" s="133" t="str">
        <f>'ADA-9'!$B$9</f>
        <v>Prévention des périodes de sécheresse</v>
      </c>
      <c r="E118" s="133" t="str">
        <f>'ADA-9'!$B$4</f>
        <v>Territoire</v>
      </c>
      <c r="F118" s="133" t="str">
        <f>'ADA-9'!$B$12</f>
        <v>IDELUX</v>
      </c>
      <c r="G118" s="133" t="str">
        <f>'ADA-9'!$B$6</f>
        <v>Néant</v>
      </c>
      <c r="H118" s="134">
        <f>'ADA-9'!$B$17</f>
        <v>200000</v>
      </c>
      <c r="I118" s="133" t="str">
        <f>'ADA-9'!$B$7</f>
        <v>Néant</v>
      </c>
      <c r="J118" s="134">
        <f>'ADA-9'!$B$18</f>
        <v>60000</v>
      </c>
      <c r="K118" s="134">
        <f>'ADA-9'!$B$21</f>
        <v>1</v>
      </c>
      <c r="L118" s="134">
        <f>'ADA-9'!$B$22</f>
        <v>0</v>
      </c>
      <c r="M118" s="135">
        <f>'ADA-9'!$B$24</f>
        <v>140000</v>
      </c>
      <c r="N118" s="220">
        <f>'ADA-9'!$B$25</f>
        <v>0</v>
      </c>
      <c r="O118" s="136">
        <f t="shared" si="588"/>
        <v>0</v>
      </c>
      <c r="P118" s="137" t="str">
        <f>'ADA-9'!$B$5</f>
        <v>A investiguer</v>
      </c>
      <c r="Q118" s="140">
        <f>'ADA-9'!$B$16</f>
        <v>2030</v>
      </c>
      <c r="R118" s="283" t="str">
        <f t="shared" si="589"/>
        <v/>
      </c>
      <c r="S118" s="138">
        <f t="shared" si="494"/>
        <v>0</v>
      </c>
      <c r="T118" s="138">
        <f t="shared" si="495"/>
        <v>0</v>
      </c>
      <c r="U118" s="138">
        <f t="shared" si="496"/>
        <v>0</v>
      </c>
      <c r="V118" s="138">
        <f t="shared" si="497"/>
        <v>0</v>
      </c>
      <c r="W118" s="138">
        <f t="shared" si="498"/>
        <v>0</v>
      </c>
      <c r="X118" s="138">
        <f t="shared" si="499"/>
        <v>0</v>
      </c>
      <c r="Y118" s="138">
        <f t="shared" si="500"/>
        <v>0</v>
      </c>
      <c r="AA118" s="138">
        <f t="shared" si="501"/>
        <v>0</v>
      </c>
      <c r="AB118" s="138">
        <f t="shared" si="502"/>
        <v>0</v>
      </c>
      <c r="AC118" s="138">
        <f t="shared" si="503"/>
        <v>0</v>
      </c>
      <c r="AD118" s="138">
        <f t="shared" si="504"/>
        <v>0</v>
      </c>
      <c r="AE118" s="138">
        <f t="shared" si="505"/>
        <v>0</v>
      </c>
      <c r="AF118" s="138">
        <f t="shared" si="506"/>
        <v>0</v>
      </c>
      <c r="AG118" s="138">
        <f t="shared" si="507"/>
        <v>0</v>
      </c>
      <c r="AI118" s="138">
        <f t="shared" si="508"/>
        <v>0</v>
      </c>
      <c r="AJ118" s="138">
        <f t="shared" si="509"/>
        <v>0</v>
      </c>
      <c r="AK118" s="138">
        <f t="shared" si="510"/>
        <v>0</v>
      </c>
      <c r="AL118" s="138">
        <f t="shared" si="511"/>
        <v>0</v>
      </c>
      <c r="AM118" s="138">
        <f t="shared" si="512"/>
        <v>0</v>
      </c>
      <c r="AN118" s="138">
        <f t="shared" si="513"/>
        <v>0</v>
      </c>
      <c r="AO118" s="138">
        <f t="shared" si="514"/>
        <v>0</v>
      </c>
      <c r="AQ118" s="138">
        <f t="shared" si="515"/>
        <v>0</v>
      </c>
      <c r="AR118" s="138">
        <f t="shared" si="516"/>
        <v>0</v>
      </c>
      <c r="AS118" s="138">
        <f t="shared" si="517"/>
        <v>0</v>
      </c>
      <c r="AT118" s="138">
        <f t="shared" si="518"/>
        <v>0</v>
      </c>
      <c r="AU118" s="138">
        <f t="shared" si="519"/>
        <v>0</v>
      </c>
      <c r="AV118" s="138">
        <f t="shared" si="520"/>
        <v>0</v>
      </c>
      <c r="AW118" s="138">
        <f t="shared" si="521"/>
        <v>0</v>
      </c>
      <c r="AY118" s="138">
        <f t="shared" si="522"/>
        <v>0</v>
      </c>
      <c r="AZ118" s="138">
        <f t="shared" si="523"/>
        <v>0</v>
      </c>
      <c r="BA118" s="138">
        <f t="shared" si="524"/>
        <v>0</v>
      </c>
      <c r="BB118" s="138">
        <f t="shared" si="525"/>
        <v>0</v>
      </c>
      <c r="BC118" s="138">
        <f t="shared" si="526"/>
        <v>0</v>
      </c>
      <c r="BD118" s="138">
        <f t="shared" si="527"/>
        <v>0</v>
      </c>
      <c r="BE118" s="138">
        <f t="shared" si="528"/>
        <v>0</v>
      </c>
      <c r="BG118" s="138">
        <f t="shared" si="529"/>
        <v>0</v>
      </c>
      <c r="BH118" s="138">
        <f t="shared" si="530"/>
        <v>0</v>
      </c>
      <c r="BI118" s="138">
        <f t="shared" si="531"/>
        <v>0</v>
      </c>
      <c r="BJ118" s="138">
        <f t="shared" si="532"/>
        <v>0</v>
      </c>
      <c r="BK118" s="452">
        <f t="shared" si="590"/>
        <v>0</v>
      </c>
      <c r="BL118" s="138">
        <f t="shared" si="533"/>
        <v>0</v>
      </c>
      <c r="BN118" s="138">
        <f t="shared" si="534"/>
        <v>0</v>
      </c>
      <c r="BO118" s="138">
        <f t="shared" si="535"/>
        <v>0</v>
      </c>
      <c r="BP118" s="138">
        <f t="shared" si="536"/>
        <v>0</v>
      </c>
      <c r="BQ118" s="138">
        <f t="shared" si="537"/>
        <v>0</v>
      </c>
      <c r="BR118" s="452">
        <f t="shared" si="591"/>
        <v>0</v>
      </c>
      <c r="BS118" s="138">
        <f t="shared" si="538"/>
        <v>0</v>
      </c>
      <c r="BT118" s="30"/>
      <c r="BU118" s="30"/>
      <c r="BV118" s="30"/>
      <c r="BW118" s="30"/>
      <c r="BX118" s="30"/>
      <c r="BY118" s="30"/>
      <c r="BZ118" s="30"/>
      <c r="CA118" s="30"/>
      <c r="CB118" s="30"/>
      <c r="CC118" s="30"/>
      <c r="CD118" s="30"/>
      <c r="CE118" s="30"/>
      <c r="CF118" s="30"/>
      <c r="CG118" s="30"/>
    </row>
    <row r="119" spans="1:85" s="139" customFormat="1" ht="18" customHeight="1" x14ac:dyDescent="0.25">
      <c r="A119" s="371" t="s">
        <v>626</v>
      </c>
      <c r="B119" s="141" t="str">
        <f>'ADA-10'!B$3:E$3</f>
        <v>Gestion communale</v>
      </c>
      <c r="C119" s="419" t="str">
        <f>'ADA-10'!$B$8</f>
        <v>Eaux de surface</v>
      </c>
      <c r="D119" s="133" t="str">
        <f>'ADA-10'!$B$9</f>
        <v>Amélioration de la qualité des eaux de surfaces</v>
      </c>
      <c r="E119" s="133" t="str">
        <f>'ADA-10'!$B$4</f>
        <v>Territoire</v>
      </c>
      <c r="F119" s="133" t="str">
        <f>'ADA-10'!$B$12</f>
        <v>IDELUX</v>
      </c>
      <c r="G119" s="133" t="str">
        <f>'ADA-10'!$B$6</f>
        <v>Néant</v>
      </c>
      <c r="H119" s="134">
        <f>'ADA-10'!$B$17</f>
        <v>500000</v>
      </c>
      <c r="I119" s="133" t="str">
        <f>'ADA-10'!$B$7</f>
        <v>Néant</v>
      </c>
      <c r="J119" s="134">
        <f>'ADA-10'!$B$18</f>
        <v>0</v>
      </c>
      <c r="K119" s="134">
        <f>'ADA-10'!$B$21</f>
        <v>1</v>
      </c>
      <c r="L119" s="134">
        <f>'ADA-10'!$B$22</f>
        <v>0</v>
      </c>
      <c r="M119" s="135">
        <f>'ADA-10'!$B$24</f>
        <v>500000</v>
      </c>
      <c r="N119" s="220">
        <f>'ADA-10'!$B$25</f>
        <v>0</v>
      </c>
      <c r="O119" s="136">
        <f t="shared" si="588"/>
        <v>0</v>
      </c>
      <c r="P119" s="137" t="str">
        <f>'ADA-10'!$B$5</f>
        <v>A faire</v>
      </c>
      <c r="Q119" s="140">
        <f>'ADA-10'!$B$16</f>
        <v>2030</v>
      </c>
      <c r="R119" s="283" t="str">
        <f t="shared" si="589"/>
        <v/>
      </c>
      <c r="S119" s="138">
        <f t="shared" si="494"/>
        <v>0</v>
      </c>
      <c r="T119" s="138">
        <f t="shared" si="495"/>
        <v>0</v>
      </c>
      <c r="U119" s="138">
        <f t="shared" si="496"/>
        <v>0</v>
      </c>
      <c r="V119" s="138">
        <f t="shared" si="497"/>
        <v>0</v>
      </c>
      <c r="W119" s="138">
        <f t="shared" si="498"/>
        <v>0</v>
      </c>
      <c r="X119" s="138">
        <f t="shared" si="499"/>
        <v>0</v>
      </c>
      <c r="Y119" s="138">
        <f t="shared" si="500"/>
        <v>0</v>
      </c>
      <c r="AA119" s="138">
        <f t="shared" si="501"/>
        <v>0</v>
      </c>
      <c r="AB119" s="138">
        <f t="shared" si="502"/>
        <v>0</v>
      </c>
      <c r="AC119" s="138">
        <f t="shared" si="503"/>
        <v>0</v>
      </c>
      <c r="AD119" s="138">
        <f t="shared" si="504"/>
        <v>0</v>
      </c>
      <c r="AE119" s="138">
        <f t="shared" si="505"/>
        <v>0</v>
      </c>
      <c r="AF119" s="138">
        <f t="shared" si="506"/>
        <v>0</v>
      </c>
      <c r="AG119" s="138">
        <f t="shared" si="507"/>
        <v>0</v>
      </c>
      <c r="AI119" s="138">
        <f t="shared" si="508"/>
        <v>0</v>
      </c>
      <c r="AJ119" s="138">
        <f t="shared" si="509"/>
        <v>0</v>
      </c>
      <c r="AK119" s="138">
        <f t="shared" si="510"/>
        <v>0</v>
      </c>
      <c r="AL119" s="138">
        <f t="shared" si="511"/>
        <v>0</v>
      </c>
      <c r="AM119" s="138">
        <f t="shared" si="512"/>
        <v>0</v>
      </c>
      <c r="AN119" s="138">
        <f t="shared" si="513"/>
        <v>0</v>
      </c>
      <c r="AO119" s="138">
        <f t="shared" si="514"/>
        <v>0</v>
      </c>
      <c r="AQ119" s="138">
        <f t="shared" si="515"/>
        <v>0</v>
      </c>
      <c r="AR119" s="138">
        <f t="shared" si="516"/>
        <v>0</v>
      </c>
      <c r="AS119" s="138">
        <f t="shared" si="517"/>
        <v>0</v>
      </c>
      <c r="AT119" s="138">
        <f t="shared" si="518"/>
        <v>0</v>
      </c>
      <c r="AU119" s="138">
        <f t="shared" si="519"/>
        <v>0</v>
      </c>
      <c r="AV119" s="138">
        <f t="shared" si="520"/>
        <v>0</v>
      </c>
      <c r="AW119" s="138">
        <f t="shared" si="521"/>
        <v>0</v>
      </c>
      <c r="AY119" s="138">
        <f t="shared" si="522"/>
        <v>0</v>
      </c>
      <c r="AZ119" s="138">
        <f t="shared" si="523"/>
        <v>0</v>
      </c>
      <c r="BA119" s="138">
        <f t="shared" si="524"/>
        <v>0</v>
      </c>
      <c r="BB119" s="138">
        <f t="shared" si="525"/>
        <v>0</v>
      </c>
      <c r="BC119" s="138">
        <f t="shared" si="526"/>
        <v>0</v>
      </c>
      <c r="BD119" s="138">
        <f t="shared" si="527"/>
        <v>0</v>
      </c>
      <c r="BE119" s="138">
        <f t="shared" si="528"/>
        <v>0</v>
      </c>
      <c r="BG119" s="138">
        <f t="shared" si="529"/>
        <v>0</v>
      </c>
      <c r="BH119" s="138">
        <f t="shared" si="530"/>
        <v>0</v>
      </c>
      <c r="BI119" s="138">
        <f t="shared" si="531"/>
        <v>0</v>
      </c>
      <c r="BJ119" s="138">
        <f t="shared" si="532"/>
        <v>0</v>
      </c>
      <c r="BK119" s="452">
        <f t="shared" si="590"/>
        <v>0</v>
      </c>
      <c r="BL119" s="138">
        <f t="shared" si="533"/>
        <v>0</v>
      </c>
      <c r="BN119" s="138">
        <f t="shared" si="534"/>
        <v>0</v>
      </c>
      <c r="BO119" s="138">
        <f t="shared" si="535"/>
        <v>0</v>
      </c>
      <c r="BP119" s="138">
        <f t="shared" si="536"/>
        <v>0</v>
      </c>
      <c r="BQ119" s="138">
        <f t="shared" si="537"/>
        <v>0</v>
      </c>
      <c r="BR119" s="452">
        <f t="shared" si="591"/>
        <v>0</v>
      </c>
      <c r="BS119" s="138">
        <f t="shared" si="538"/>
        <v>0</v>
      </c>
      <c r="BT119" s="30"/>
      <c r="BU119" s="30"/>
      <c r="BV119" s="30"/>
      <c r="BW119" s="30"/>
      <c r="BX119" s="30"/>
      <c r="BY119" s="30"/>
      <c r="BZ119" s="30"/>
      <c r="CA119" s="30"/>
      <c r="CB119" s="30"/>
      <c r="CC119" s="30"/>
      <c r="CD119" s="30"/>
      <c r="CE119" s="30"/>
      <c r="CF119" s="30"/>
      <c r="CG119" s="30"/>
    </row>
    <row r="120" spans="1:85" s="139" customFormat="1" ht="18" customHeight="1" x14ac:dyDescent="0.25">
      <c r="A120" s="371" t="s">
        <v>627</v>
      </c>
      <c r="B120" s="141" t="str">
        <f>'ADA-11'!B$3:E$3</f>
        <v>Gestion communale</v>
      </c>
      <c r="C120" s="419" t="str">
        <f>'ADA-11'!$B$8</f>
        <v>Urbanisme</v>
      </c>
      <c r="D120" s="133" t="str">
        <f>'ADA-11'!$B$9</f>
        <v>Régles urbanistiques adaptées au réchauffement climatique</v>
      </c>
      <c r="E120" s="133" t="str">
        <f>'ADA-11'!$B$4</f>
        <v>Territoire</v>
      </c>
      <c r="F120" s="133" t="str">
        <f>'ADA-11'!$B$12</f>
        <v>AC MESSANCY</v>
      </c>
      <c r="G120" s="133" t="str">
        <f>'ADA-11'!$B$6</f>
        <v>Néant</v>
      </c>
      <c r="H120" s="134">
        <f>'ADA-11'!$B$17</f>
        <v>0</v>
      </c>
      <c r="I120" s="133" t="str">
        <f>'ADA-11'!$B$7</f>
        <v>Néant</v>
      </c>
      <c r="J120" s="134">
        <f>'ADA-11'!$B$18</f>
        <v>0</v>
      </c>
      <c r="K120" s="134">
        <f>'ADA-11'!$B$21</f>
        <v>1</v>
      </c>
      <c r="L120" s="134">
        <f>'ADA-11'!$B$22</f>
        <v>0</v>
      </c>
      <c r="M120" s="135">
        <f>'ADA-11'!$B$24</f>
        <v>0</v>
      </c>
      <c r="N120" s="220">
        <f>'ADA-11'!$B$25</f>
        <v>0</v>
      </c>
      <c r="O120" s="136">
        <f t="shared" si="588"/>
        <v>0</v>
      </c>
      <c r="P120" s="137" t="str">
        <f>'ADA-11'!$B$5</f>
        <v>Terminé</v>
      </c>
      <c r="Q120" s="140">
        <f>'ADA-11'!$B$16</f>
        <v>2012</v>
      </c>
      <c r="R120" s="283">
        <f t="shared" si="589"/>
        <v>0</v>
      </c>
      <c r="S120" s="138">
        <f t="shared" si="494"/>
        <v>0</v>
      </c>
      <c r="T120" s="138">
        <f t="shared" si="495"/>
        <v>0</v>
      </c>
      <c r="U120" s="138">
        <f t="shared" si="496"/>
        <v>0</v>
      </c>
      <c r="V120" s="138">
        <f t="shared" si="497"/>
        <v>0</v>
      </c>
      <c r="W120" s="138">
        <f t="shared" si="498"/>
        <v>0</v>
      </c>
      <c r="X120" s="138">
        <f t="shared" si="499"/>
        <v>0</v>
      </c>
      <c r="Y120" s="138">
        <f t="shared" si="500"/>
        <v>0</v>
      </c>
      <c r="AA120" s="138">
        <f t="shared" si="501"/>
        <v>0</v>
      </c>
      <c r="AB120" s="138">
        <f t="shared" si="502"/>
        <v>0</v>
      </c>
      <c r="AC120" s="138">
        <f t="shared" si="503"/>
        <v>0</v>
      </c>
      <c r="AD120" s="138">
        <f t="shared" si="504"/>
        <v>0</v>
      </c>
      <c r="AE120" s="138">
        <f t="shared" si="505"/>
        <v>0</v>
      </c>
      <c r="AF120" s="138">
        <f t="shared" si="506"/>
        <v>0</v>
      </c>
      <c r="AG120" s="138">
        <f t="shared" si="507"/>
        <v>0</v>
      </c>
      <c r="AI120" s="138">
        <f t="shared" si="508"/>
        <v>0</v>
      </c>
      <c r="AJ120" s="138">
        <f t="shared" si="509"/>
        <v>0</v>
      </c>
      <c r="AK120" s="138">
        <f t="shared" si="510"/>
        <v>0</v>
      </c>
      <c r="AL120" s="138">
        <f t="shared" si="511"/>
        <v>0</v>
      </c>
      <c r="AM120" s="138">
        <f t="shared" si="512"/>
        <v>0</v>
      </c>
      <c r="AN120" s="138">
        <f t="shared" si="513"/>
        <v>0</v>
      </c>
      <c r="AO120" s="138">
        <f t="shared" si="514"/>
        <v>0</v>
      </c>
      <c r="AQ120" s="138">
        <f t="shared" si="515"/>
        <v>1</v>
      </c>
      <c r="AR120" s="138">
        <f t="shared" si="516"/>
        <v>0</v>
      </c>
      <c r="AS120" s="138">
        <f t="shared" si="517"/>
        <v>0</v>
      </c>
      <c r="AT120" s="138">
        <f t="shared" si="518"/>
        <v>0</v>
      </c>
      <c r="AU120" s="138">
        <f t="shared" si="519"/>
        <v>0</v>
      </c>
      <c r="AV120" s="138">
        <f t="shared" si="520"/>
        <v>0</v>
      </c>
      <c r="AW120" s="138">
        <f t="shared" si="521"/>
        <v>0</v>
      </c>
      <c r="AY120" s="138">
        <f t="shared" si="522"/>
        <v>0</v>
      </c>
      <c r="AZ120" s="138">
        <f t="shared" si="523"/>
        <v>0</v>
      </c>
      <c r="BA120" s="138">
        <f t="shared" si="524"/>
        <v>0</v>
      </c>
      <c r="BB120" s="138">
        <f t="shared" si="525"/>
        <v>0</v>
      </c>
      <c r="BC120" s="138">
        <f t="shared" si="526"/>
        <v>0</v>
      </c>
      <c r="BD120" s="138">
        <f t="shared" si="527"/>
        <v>0</v>
      </c>
      <c r="BE120" s="138">
        <f t="shared" si="528"/>
        <v>0</v>
      </c>
      <c r="BG120" s="138">
        <f t="shared" si="529"/>
        <v>0</v>
      </c>
      <c r="BH120" s="138">
        <f t="shared" si="530"/>
        <v>0</v>
      </c>
      <c r="BI120" s="138">
        <f t="shared" si="531"/>
        <v>0</v>
      </c>
      <c r="BJ120" s="138">
        <f t="shared" si="532"/>
        <v>0</v>
      </c>
      <c r="BK120" s="452">
        <f t="shared" si="590"/>
        <v>0</v>
      </c>
      <c r="BL120" s="138">
        <f t="shared" si="533"/>
        <v>0</v>
      </c>
      <c r="BN120" s="138">
        <f t="shared" si="534"/>
        <v>0</v>
      </c>
      <c r="BO120" s="138">
        <f t="shared" si="535"/>
        <v>0</v>
      </c>
      <c r="BP120" s="138">
        <f t="shared" si="536"/>
        <v>0</v>
      </c>
      <c r="BQ120" s="138">
        <f t="shared" si="537"/>
        <v>0</v>
      </c>
      <c r="BR120" s="452">
        <f t="shared" si="591"/>
        <v>0</v>
      </c>
      <c r="BS120" s="138">
        <f t="shared" si="538"/>
        <v>0</v>
      </c>
      <c r="BT120" s="30"/>
      <c r="BU120" s="30"/>
      <c r="BV120" s="30"/>
      <c r="BW120" s="30"/>
      <c r="BX120" s="30"/>
      <c r="BY120" s="30"/>
      <c r="BZ120" s="30"/>
      <c r="CA120" s="30"/>
      <c r="CB120" s="30"/>
      <c r="CC120" s="30"/>
      <c r="CD120" s="30"/>
      <c r="CE120" s="30"/>
      <c r="CF120" s="30"/>
      <c r="CG120" s="30"/>
    </row>
    <row r="121" spans="1:85" s="139" customFormat="1" ht="18" customHeight="1" x14ac:dyDescent="0.25">
      <c r="A121" s="371" t="s">
        <v>628</v>
      </c>
      <c r="B121" s="141" t="str">
        <f>'ADA-12'!B$3:E$3</f>
        <v>Gestion communale</v>
      </c>
      <c r="C121" s="419" t="str">
        <f>'ADA-12'!$B$8</f>
        <v>Urbanisme</v>
      </c>
      <c r="D121" s="133" t="str">
        <f>'ADA-12'!$B$9</f>
        <v>Règles urbanistiques en zones inondables</v>
      </c>
      <c r="E121" s="133" t="str">
        <f>'ADA-12'!$B$4</f>
        <v>Territoire</v>
      </c>
      <c r="F121" s="133" t="str">
        <f>'ADA-12'!$B$12</f>
        <v>AC MESSANCY</v>
      </c>
      <c r="G121" s="133" t="str">
        <f>'ADA-12'!$B$6</f>
        <v>Néant</v>
      </c>
      <c r="H121" s="134">
        <f>'ADA-12'!$B$17</f>
        <v>0</v>
      </c>
      <c r="I121" s="133" t="str">
        <f>'ADA-12'!$B$7</f>
        <v>Néant</v>
      </c>
      <c r="J121" s="134">
        <f>'ADA-12'!$B$18</f>
        <v>0</v>
      </c>
      <c r="K121" s="134">
        <f>'ADA-12'!$B$21</f>
        <v>1</v>
      </c>
      <c r="L121" s="134">
        <f>'ADA-12'!$B$22</f>
        <v>0</v>
      </c>
      <c r="M121" s="135">
        <f>'ADA-12'!$B$24</f>
        <v>0</v>
      </c>
      <c r="N121" s="220">
        <f>'ADA-12'!$B$25</f>
        <v>0</v>
      </c>
      <c r="O121" s="136">
        <f t="shared" si="588"/>
        <v>0</v>
      </c>
      <c r="P121" s="137" t="str">
        <f>'ADA-12'!$B$5</f>
        <v>Terminé</v>
      </c>
      <c r="Q121" s="140">
        <f>'ADA-12'!$B$16</f>
        <v>2012</v>
      </c>
      <c r="R121" s="283">
        <f t="shared" si="589"/>
        <v>0</v>
      </c>
      <c r="S121" s="138">
        <f t="shared" si="494"/>
        <v>0</v>
      </c>
      <c r="T121" s="138">
        <f t="shared" si="495"/>
        <v>0</v>
      </c>
      <c r="U121" s="138">
        <f t="shared" si="496"/>
        <v>0</v>
      </c>
      <c r="V121" s="138">
        <f t="shared" si="497"/>
        <v>0</v>
      </c>
      <c r="W121" s="138">
        <f t="shared" si="498"/>
        <v>0</v>
      </c>
      <c r="X121" s="138">
        <f t="shared" si="499"/>
        <v>0</v>
      </c>
      <c r="Y121" s="138">
        <f t="shared" si="500"/>
        <v>0</v>
      </c>
      <c r="AA121" s="138">
        <f t="shared" si="501"/>
        <v>0</v>
      </c>
      <c r="AB121" s="138">
        <f t="shared" si="502"/>
        <v>0</v>
      </c>
      <c r="AC121" s="138">
        <f t="shared" si="503"/>
        <v>0</v>
      </c>
      <c r="AD121" s="138">
        <f t="shared" si="504"/>
        <v>0</v>
      </c>
      <c r="AE121" s="138">
        <f t="shared" si="505"/>
        <v>0</v>
      </c>
      <c r="AF121" s="138">
        <f t="shared" si="506"/>
        <v>0</v>
      </c>
      <c r="AG121" s="138">
        <f t="shared" si="507"/>
        <v>0</v>
      </c>
      <c r="AI121" s="138">
        <f t="shared" si="508"/>
        <v>0</v>
      </c>
      <c r="AJ121" s="138">
        <f t="shared" si="509"/>
        <v>0</v>
      </c>
      <c r="AK121" s="138">
        <f t="shared" si="510"/>
        <v>0</v>
      </c>
      <c r="AL121" s="138">
        <f t="shared" si="511"/>
        <v>0</v>
      </c>
      <c r="AM121" s="138">
        <f t="shared" si="512"/>
        <v>0</v>
      </c>
      <c r="AN121" s="138">
        <f t="shared" si="513"/>
        <v>0</v>
      </c>
      <c r="AO121" s="138">
        <f t="shared" si="514"/>
        <v>0</v>
      </c>
      <c r="AQ121" s="138">
        <f t="shared" si="515"/>
        <v>1</v>
      </c>
      <c r="AR121" s="138">
        <f t="shared" si="516"/>
        <v>0</v>
      </c>
      <c r="AS121" s="138">
        <f t="shared" si="517"/>
        <v>0</v>
      </c>
      <c r="AT121" s="138">
        <f t="shared" si="518"/>
        <v>0</v>
      </c>
      <c r="AU121" s="138">
        <f t="shared" si="519"/>
        <v>0</v>
      </c>
      <c r="AV121" s="138">
        <f t="shared" si="520"/>
        <v>0</v>
      </c>
      <c r="AW121" s="138">
        <f t="shared" si="521"/>
        <v>0</v>
      </c>
      <c r="AY121" s="138">
        <f t="shared" si="522"/>
        <v>0</v>
      </c>
      <c r="AZ121" s="138">
        <f t="shared" si="523"/>
        <v>0</v>
      </c>
      <c r="BA121" s="138">
        <f t="shared" si="524"/>
        <v>0</v>
      </c>
      <c r="BB121" s="138">
        <f t="shared" si="525"/>
        <v>0</v>
      </c>
      <c r="BC121" s="138">
        <f t="shared" si="526"/>
        <v>0</v>
      </c>
      <c r="BD121" s="138">
        <f t="shared" si="527"/>
        <v>0</v>
      </c>
      <c r="BE121" s="138">
        <f t="shared" si="528"/>
        <v>0</v>
      </c>
      <c r="BG121" s="138">
        <f t="shared" si="529"/>
        <v>0</v>
      </c>
      <c r="BH121" s="138">
        <f t="shared" si="530"/>
        <v>0</v>
      </c>
      <c r="BI121" s="138">
        <f t="shared" si="531"/>
        <v>0</v>
      </c>
      <c r="BJ121" s="138">
        <f t="shared" si="532"/>
        <v>0</v>
      </c>
      <c r="BK121" s="452">
        <f t="shared" si="590"/>
        <v>0</v>
      </c>
      <c r="BL121" s="138">
        <f t="shared" si="533"/>
        <v>0</v>
      </c>
      <c r="BN121" s="138">
        <f t="shared" si="534"/>
        <v>0</v>
      </c>
      <c r="BO121" s="138">
        <f t="shared" si="535"/>
        <v>0</v>
      </c>
      <c r="BP121" s="138">
        <f t="shared" si="536"/>
        <v>0</v>
      </c>
      <c r="BQ121" s="138">
        <f t="shared" si="537"/>
        <v>0</v>
      </c>
      <c r="BR121" s="452">
        <f t="shared" si="591"/>
        <v>0</v>
      </c>
      <c r="BS121" s="138">
        <f t="shared" si="538"/>
        <v>0</v>
      </c>
      <c r="BT121" s="30"/>
      <c r="BU121" s="30"/>
      <c r="BV121" s="30"/>
      <c r="BW121" s="30"/>
      <c r="BX121" s="30"/>
      <c r="BY121" s="30"/>
      <c r="BZ121" s="30"/>
      <c r="CA121" s="30"/>
      <c r="CB121" s="30"/>
      <c r="CC121" s="30"/>
      <c r="CD121" s="30"/>
      <c r="CE121" s="30"/>
      <c r="CF121" s="30"/>
      <c r="CG121" s="30"/>
    </row>
    <row r="122" spans="1:85" s="139" customFormat="1" ht="18" customHeight="1" x14ac:dyDescent="0.25">
      <c r="A122" s="371" t="s">
        <v>629</v>
      </c>
      <c r="B122" s="141" t="str">
        <f>'ADA-13'!B$3:E$3</f>
        <v>Gestion communale</v>
      </c>
      <c r="C122" s="419" t="str">
        <f>'ADA-13'!$B$8</f>
        <v>Bâtiments publics</v>
      </c>
      <c r="D122" s="133" t="str">
        <f>'ADA-13'!$B$9</f>
        <v>Autonomie énergétique des bâtiments publics</v>
      </c>
      <c r="E122" s="133" t="str">
        <f>'ADA-13'!$B$4</f>
        <v>Territoire</v>
      </c>
      <c r="F122" s="133" t="str">
        <f>'ADA-13'!$B$12</f>
        <v>AC MESSANCY</v>
      </c>
      <c r="G122" s="133" t="str">
        <f>'ADA-13'!$B$6</f>
        <v>Néant</v>
      </c>
      <c r="H122" s="134">
        <f>'ADA-13'!$B$17</f>
        <v>500000</v>
      </c>
      <c r="I122" s="133" t="str">
        <f>'ADA-13'!$B$7</f>
        <v>Néant</v>
      </c>
      <c r="J122" s="134">
        <f>'ADA-13'!$B$18</f>
        <v>200000</v>
      </c>
      <c r="K122" s="134">
        <f>'ADA-13'!$B$21</f>
        <v>1</v>
      </c>
      <c r="L122" s="134">
        <f>'ADA-13'!$B$22</f>
        <v>0</v>
      </c>
      <c r="M122" s="135">
        <f>'ADA-13'!$B$24</f>
        <v>300000</v>
      </c>
      <c r="N122" s="220">
        <f>'ADA-13'!$B$25</f>
        <v>0</v>
      </c>
      <c r="O122" s="136">
        <f>IF(H122=0,0,N122/(H122-J122)*1000)</f>
        <v>0</v>
      </c>
      <c r="P122" s="137" t="str">
        <f>'ADA-13'!$B$5</f>
        <v>A faire</v>
      </c>
      <c r="Q122" s="140">
        <f>'ADA-13'!$B$16</f>
        <v>2030</v>
      </c>
      <c r="R122" s="283" t="str">
        <f>IF(P122="terminé", N122,"")</f>
        <v/>
      </c>
      <c r="S122" s="138">
        <f t="shared" si="494"/>
        <v>0</v>
      </c>
      <c r="T122" s="138">
        <f t="shared" si="495"/>
        <v>0</v>
      </c>
      <c r="U122" s="138">
        <f t="shared" si="496"/>
        <v>0</v>
      </c>
      <c r="V122" s="138">
        <f t="shared" si="497"/>
        <v>0</v>
      </c>
      <c r="W122" s="138">
        <f t="shared" si="498"/>
        <v>0</v>
      </c>
      <c r="X122" s="138">
        <f t="shared" si="499"/>
        <v>0</v>
      </c>
      <c r="Y122" s="138">
        <f t="shared" si="500"/>
        <v>0</v>
      </c>
      <c r="AA122" s="138">
        <f t="shared" si="501"/>
        <v>0</v>
      </c>
      <c r="AB122" s="138">
        <f t="shared" si="502"/>
        <v>0</v>
      </c>
      <c r="AC122" s="138">
        <f t="shared" si="503"/>
        <v>0</v>
      </c>
      <c r="AD122" s="138">
        <f t="shared" si="504"/>
        <v>0</v>
      </c>
      <c r="AE122" s="138">
        <f t="shared" si="505"/>
        <v>0</v>
      </c>
      <c r="AF122" s="138">
        <f t="shared" si="506"/>
        <v>0</v>
      </c>
      <c r="AG122" s="138">
        <f t="shared" si="507"/>
        <v>0</v>
      </c>
      <c r="AI122" s="138">
        <f t="shared" si="508"/>
        <v>0</v>
      </c>
      <c r="AJ122" s="138">
        <f t="shared" si="509"/>
        <v>0</v>
      </c>
      <c r="AK122" s="138">
        <f t="shared" si="510"/>
        <v>0</v>
      </c>
      <c r="AL122" s="138">
        <f t="shared" si="511"/>
        <v>0</v>
      </c>
      <c r="AM122" s="138">
        <f t="shared" si="512"/>
        <v>0</v>
      </c>
      <c r="AN122" s="138">
        <f t="shared" si="513"/>
        <v>0</v>
      </c>
      <c r="AO122" s="138">
        <f t="shared" si="514"/>
        <v>0</v>
      </c>
      <c r="AQ122" s="138">
        <f t="shared" si="515"/>
        <v>0</v>
      </c>
      <c r="AR122" s="138">
        <f t="shared" si="516"/>
        <v>0</v>
      </c>
      <c r="AS122" s="138">
        <f t="shared" si="517"/>
        <v>0</v>
      </c>
      <c r="AT122" s="138">
        <f t="shared" si="518"/>
        <v>0</v>
      </c>
      <c r="AU122" s="138">
        <f t="shared" si="519"/>
        <v>0</v>
      </c>
      <c r="AV122" s="138">
        <f t="shared" si="520"/>
        <v>0</v>
      </c>
      <c r="AW122" s="138">
        <f t="shared" si="521"/>
        <v>0</v>
      </c>
      <c r="AY122" s="138">
        <f t="shared" si="522"/>
        <v>0</v>
      </c>
      <c r="AZ122" s="138">
        <f t="shared" si="523"/>
        <v>0</v>
      </c>
      <c r="BA122" s="138">
        <f t="shared" si="524"/>
        <v>0</v>
      </c>
      <c r="BB122" s="138">
        <f t="shared" si="525"/>
        <v>0</v>
      </c>
      <c r="BC122" s="138">
        <f t="shared" si="526"/>
        <v>0</v>
      </c>
      <c r="BD122" s="138">
        <f t="shared" si="527"/>
        <v>0</v>
      </c>
      <c r="BE122" s="138">
        <f t="shared" si="528"/>
        <v>0</v>
      </c>
      <c r="BG122" s="138">
        <f t="shared" si="529"/>
        <v>0</v>
      </c>
      <c r="BH122" s="138">
        <f t="shared" si="530"/>
        <v>0</v>
      </c>
      <c r="BI122" s="138">
        <f t="shared" si="531"/>
        <v>0</v>
      </c>
      <c r="BJ122" s="138">
        <f t="shared" si="532"/>
        <v>0</v>
      </c>
      <c r="BK122" s="452">
        <f t="shared" si="590"/>
        <v>0</v>
      </c>
      <c r="BL122" s="138">
        <f t="shared" si="533"/>
        <v>0</v>
      </c>
      <c r="BN122" s="138">
        <f t="shared" si="534"/>
        <v>0</v>
      </c>
      <c r="BO122" s="138">
        <f t="shared" si="535"/>
        <v>0</v>
      </c>
      <c r="BP122" s="138">
        <f t="shared" si="536"/>
        <v>0</v>
      </c>
      <c r="BQ122" s="138">
        <f t="shared" si="537"/>
        <v>0</v>
      </c>
      <c r="BR122" s="452">
        <f t="shared" si="591"/>
        <v>0</v>
      </c>
      <c r="BS122" s="138">
        <f t="shared" si="538"/>
        <v>0</v>
      </c>
      <c r="BT122" s="30"/>
      <c r="BU122" s="30"/>
      <c r="BV122" s="30"/>
      <c r="BW122" s="30"/>
      <c r="BX122" s="30"/>
      <c r="BY122" s="30"/>
      <c r="BZ122" s="30"/>
      <c r="CA122" s="30"/>
      <c r="CB122" s="30"/>
      <c r="CC122" s="30"/>
      <c r="CD122" s="30"/>
      <c r="CE122" s="30"/>
      <c r="CF122" s="30"/>
      <c r="CG122" s="30"/>
    </row>
    <row r="123" spans="1:85" s="139" customFormat="1" ht="18" customHeight="1" x14ac:dyDescent="0.25">
      <c r="A123" s="371" t="s">
        <v>784</v>
      </c>
      <c r="B123" s="141" t="str">
        <f>'ADA-20'!B$3:E$3</f>
        <v>Aménagement du territoire</v>
      </c>
      <c r="C123" s="419" t="str">
        <f>'ADA-20'!$B$8</f>
        <v>Coulées de boues</v>
      </c>
      <c r="D123" s="133" t="str">
        <f>'ADA-20'!$B$9</f>
        <v>Limitation des coulées de boues</v>
      </c>
      <c r="E123" s="133" t="str">
        <f>'ADA-20'!$B$4</f>
        <v>Territoire</v>
      </c>
      <c r="F123" s="133" t="str">
        <f>'ADA-20'!$B$12</f>
        <v>AC MESSANCY</v>
      </c>
      <c r="G123" s="133" t="str">
        <f>'ADA-20'!$B$6</f>
        <v>Néant</v>
      </c>
      <c r="H123" s="134">
        <f>'ADA-20'!$B$17</f>
        <v>100000</v>
      </c>
      <c r="I123" s="133" t="str">
        <f>'ADA-20'!$B$7</f>
        <v>Néant</v>
      </c>
      <c r="J123" s="134">
        <f>'ADA-20'!$B$18</f>
        <v>0</v>
      </c>
      <c r="K123" s="134">
        <f>'ADA-20'!$B$21</f>
        <v>1</v>
      </c>
      <c r="L123" s="134">
        <f>'ADA-20'!$B$22</f>
        <v>0</v>
      </c>
      <c r="M123" s="135">
        <f>'ADA-20'!$B$24</f>
        <v>100000</v>
      </c>
      <c r="N123" s="220">
        <f>'ADA-20'!$B$25</f>
        <v>0</v>
      </c>
      <c r="O123" s="136">
        <f>IF(H123=0,0,N123/(H123-J123)*1000)</f>
        <v>0</v>
      </c>
      <c r="P123" s="137" t="str">
        <f>'ADA-20'!$B$5</f>
        <v>A faire</v>
      </c>
      <c r="Q123" s="140">
        <f>'ADA-20'!$B$16</f>
        <v>2030</v>
      </c>
      <c r="R123" s="283" t="str">
        <f>IF(P123="terminé", N123,"")</f>
        <v/>
      </c>
      <c r="S123" s="138">
        <f t="shared" si="494"/>
        <v>0</v>
      </c>
      <c r="T123" s="138">
        <f t="shared" si="495"/>
        <v>0</v>
      </c>
      <c r="U123" s="138">
        <f t="shared" si="496"/>
        <v>0</v>
      </c>
      <c r="V123" s="138">
        <f t="shared" si="497"/>
        <v>0</v>
      </c>
      <c r="W123" s="138">
        <f t="shared" si="498"/>
        <v>0</v>
      </c>
      <c r="X123" s="138">
        <f t="shared" si="499"/>
        <v>0</v>
      </c>
      <c r="Y123" s="138">
        <f t="shared" si="500"/>
        <v>0</v>
      </c>
      <c r="AA123" s="138">
        <f t="shared" si="501"/>
        <v>0</v>
      </c>
      <c r="AB123" s="138">
        <f t="shared" si="502"/>
        <v>0</v>
      </c>
      <c r="AC123" s="138">
        <f t="shared" si="503"/>
        <v>0</v>
      </c>
      <c r="AD123" s="138">
        <f t="shared" si="504"/>
        <v>0</v>
      </c>
      <c r="AE123" s="138">
        <f t="shared" si="505"/>
        <v>0</v>
      </c>
      <c r="AF123" s="138">
        <f t="shared" si="506"/>
        <v>0</v>
      </c>
      <c r="AG123" s="138">
        <f t="shared" si="507"/>
        <v>0</v>
      </c>
      <c r="AI123" s="138">
        <f t="shared" si="508"/>
        <v>0</v>
      </c>
      <c r="AJ123" s="138">
        <f t="shared" si="509"/>
        <v>0</v>
      </c>
      <c r="AK123" s="138">
        <f t="shared" si="510"/>
        <v>0</v>
      </c>
      <c r="AL123" s="138">
        <f t="shared" si="511"/>
        <v>0</v>
      </c>
      <c r="AM123" s="138">
        <f t="shared" si="512"/>
        <v>0</v>
      </c>
      <c r="AN123" s="138">
        <f t="shared" si="513"/>
        <v>0</v>
      </c>
      <c r="AO123" s="138">
        <f t="shared" si="514"/>
        <v>0</v>
      </c>
      <c r="AQ123" s="138">
        <f t="shared" si="515"/>
        <v>0</v>
      </c>
      <c r="AR123" s="138">
        <f t="shared" si="516"/>
        <v>0</v>
      </c>
      <c r="AS123" s="138">
        <f t="shared" si="517"/>
        <v>0</v>
      </c>
      <c r="AT123" s="138">
        <f t="shared" si="518"/>
        <v>0</v>
      </c>
      <c r="AU123" s="138">
        <f t="shared" si="519"/>
        <v>0</v>
      </c>
      <c r="AV123" s="138">
        <f t="shared" si="520"/>
        <v>0</v>
      </c>
      <c r="AW123" s="138">
        <f t="shared" si="521"/>
        <v>0</v>
      </c>
      <c r="AY123" s="138">
        <f t="shared" si="522"/>
        <v>0</v>
      </c>
      <c r="AZ123" s="138">
        <f t="shared" si="523"/>
        <v>0</v>
      </c>
      <c r="BA123" s="138">
        <f t="shared" si="524"/>
        <v>0</v>
      </c>
      <c r="BB123" s="138">
        <f t="shared" si="525"/>
        <v>0</v>
      </c>
      <c r="BC123" s="138">
        <f t="shared" si="526"/>
        <v>0</v>
      </c>
      <c r="BD123" s="138">
        <f t="shared" si="527"/>
        <v>0</v>
      </c>
      <c r="BE123" s="138">
        <f t="shared" si="528"/>
        <v>0</v>
      </c>
      <c r="BG123" s="138">
        <f t="shared" si="529"/>
        <v>0</v>
      </c>
      <c r="BH123" s="138">
        <f t="shared" si="530"/>
        <v>0</v>
      </c>
      <c r="BI123" s="138">
        <f t="shared" si="531"/>
        <v>0</v>
      </c>
      <c r="BJ123" s="138">
        <f t="shared" si="532"/>
        <v>0</v>
      </c>
      <c r="BK123" s="452">
        <f t="shared" si="590"/>
        <v>0</v>
      </c>
      <c r="BL123" s="138">
        <f t="shared" si="533"/>
        <v>0</v>
      </c>
      <c r="BN123" s="138">
        <f t="shared" si="534"/>
        <v>0</v>
      </c>
      <c r="BO123" s="138">
        <f t="shared" si="535"/>
        <v>0</v>
      </c>
      <c r="BP123" s="138">
        <f t="shared" si="536"/>
        <v>0</v>
      </c>
      <c r="BQ123" s="138">
        <f t="shared" si="537"/>
        <v>0</v>
      </c>
      <c r="BR123" s="452">
        <f t="shared" si="591"/>
        <v>0</v>
      </c>
      <c r="BS123" s="138">
        <f t="shared" si="538"/>
        <v>0</v>
      </c>
      <c r="BT123" s="30"/>
      <c r="BU123" s="30"/>
      <c r="BV123" s="30"/>
      <c r="BW123" s="30"/>
      <c r="BX123" s="30"/>
      <c r="BY123" s="30"/>
      <c r="BZ123" s="30"/>
      <c r="CA123" s="30"/>
      <c r="CB123" s="30"/>
      <c r="CC123" s="30"/>
      <c r="CD123" s="30"/>
      <c r="CE123" s="30"/>
      <c r="CF123" s="30"/>
      <c r="CG123" s="30"/>
    </row>
    <row r="124" spans="1:85" s="139" customFormat="1" ht="18" customHeight="1" x14ac:dyDescent="0.25">
      <c r="A124" s="371" t="s">
        <v>783</v>
      </c>
      <c r="B124" s="141" t="str">
        <f>'ADA-21'!B$3:E$3</f>
        <v>Aménagement du territoire</v>
      </c>
      <c r="C124" s="419" t="str">
        <f>'ADA-21'!$B$8</f>
        <v>Inondations</v>
      </c>
      <c r="D124" s="133" t="str">
        <f>'ADA-21'!$B$9</f>
        <v xml:space="preserve">Dispositifs pour eaux pluviales </v>
      </c>
      <c r="E124" s="133" t="str">
        <f>'ADA-21'!$B$4</f>
        <v>Territoire</v>
      </c>
      <c r="F124" s="133" t="str">
        <f>'ADA-21'!$B$12</f>
        <v>AC MESSANCY</v>
      </c>
      <c r="G124" s="133" t="str">
        <f>'ADA-21'!$B$6</f>
        <v>Néant</v>
      </c>
      <c r="H124" s="134">
        <f>'ADA-21'!$B$17</f>
        <v>0</v>
      </c>
      <c r="I124" s="133" t="str">
        <f>'ADA-21'!$B$7</f>
        <v>Néant</v>
      </c>
      <c r="J124" s="134">
        <f>'ADA-21'!$B$18</f>
        <v>0</v>
      </c>
      <c r="K124" s="134">
        <f>'ADA-21'!$B$21</f>
        <v>1</v>
      </c>
      <c r="L124" s="134">
        <f>'ADA-21'!$B$22</f>
        <v>0</v>
      </c>
      <c r="M124" s="135">
        <f>'ADA-21'!$B$24</f>
        <v>0</v>
      </c>
      <c r="N124" s="220">
        <f>'ADA-21'!$B$25</f>
        <v>0</v>
      </c>
      <c r="O124" s="136">
        <f>IF(H124=0,0,N124/(H124-J124)*1000)</f>
        <v>0</v>
      </c>
      <c r="P124" s="137" t="str">
        <f>'ADA-21'!$B$5</f>
        <v>Ne pas réaliser</v>
      </c>
      <c r="Q124" s="140">
        <f>'ADA-21'!$B$16</f>
        <v>0</v>
      </c>
      <c r="R124" s="283" t="str">
        <f>IF(P124="terminé", N124,"")</f>
        <v/>
      </c>
      <c r="S124" s="138">
        <f t="shared" si="494"/>
        <v>0</v>
      </c>
      <c r="T124" s="138">
        <f t="shared" si="495"/>
        <v>0</v>
      </c>
      <c r="U124" s="138">
        <f t="shared" si="496"/>
        <v>0</v>
      </c>
      <c r="V124" s="138">
        <f t="shared" si="497"/>
        <v>0</v>
      </c>
      <c r="W124" s="138">
        <f t="shared" si="498"/>
        <v>0</v>
      </c>
      <c r="X124" s="138">
        <f t="shared" si="499"/>
        <v>0</v>
      </c>
      <c r="Y124" s="138">
        <f t="shared" si="500"/>
        <v>0</v>
      </c>
      <c r="AA124" s="138">
        <f t="shared" si="501"/>
        <v>0</v>
      </c>
      <c r="AB124" s="138">
        <f t="shared" si="502"/>
        <v>0</v>
      </c>
      <c r="AC124" s="138">
        <f t="shared" si="503"/>
        <v>0</v>
      </c>
      <c r="AD124" s="138">
        <f t="shared" si="504"/>
        <v>0</v>
      </c>
      <c r="AE124" s="138">
        <f t="shared" si="505"/>
        <v>0</v>
      </c>
      <c r="AF124" s="138">
        <f t="shared" si="506"/>
        <v>0</v>
      </c>
      <c r="AG124" s="138">
        <f t="shared" si="507"/>
        <v>0</v>
      </c>
      <c r="AI124" s="138">
        <f t="shared" si="508"/>
        <v>0</v>
      </c>
      <c r="AJ124" s="138">
        <f t="shared" si="509"/>
        <v>0</v>
      </c>
      <c r="AK124" s="138">
        <f t="shared" si="510"/>
        <v>0</v>
      </c>
      <c r="AL124" s="138">
        <f t="shared" si="511"/>
        <v>0</v>
      </c>
      <c r="AM124" s="138">
        <f t="shared" si="512"/>
        <v>0</v>
      </c>
      <c r="AN124" s="138">
        <f t="shared" si="513"/>
        <v>0</v>
      </c>
      <c r="AO124" s="138">
        <f t="shared" si="514"/>
        <v>0</v>
      </c>
      <c r="AQ124" s="138">
        <f t="shared" si="515"/>
        <v>0</v>
      </c>
      <c r="AR124" s="138">
        <f t="shared" si="516"/>
        <v>0</v>
      </c>
      <c r="AS124" s="138">
        <f t="shared" si="517"/>
        <v>0</v>
      </c>
      <c r="AT124" s="138">
        <f t="shared" si="518"/>
        <v>0</v>
      </c>
      <c r="AU124" s="138">
        <f t="shared" si="519"/>
        <v>0</v>
      </c>
      <c r="AV124" s="138">
        <f t="shared" si="520"/>
        <v>0</v>
      </c>
      <c r="AW124" s="138">
        <f t="shared" si="521"/>
        <v>0</v>
      </c>
      <c r="AY124" s="138">
        <f t="shared" si="522"/>
        <v>0</v>
      </c>
      <c r="AZ124" s="138">
        <f t="shared" si="523"/>
        <v>0</v>
      </c>
      <c r="BA124" s="138">
        <f t="shared" si="524"/>
        <v>0</v>
      </c>
      <c r="BB124" s="138">
        <f t="shared" si="525"/>
        <v>0</v>
      </c>
      <c r="BC124" s="138">
        <f t="shared" si="526"/>
        <v>0</v>
      </c>
      <c r="BD124" s="138">
        <f t="shared" si="527"/>
        <v>0</v>
      </c>
      <c r="BE124" s="138">
        <f t="shared" si="528"/>
        <v>0</v>
      </c>
      <c r="BG124" s="138">
        <f t="shared" si="529"/>
        <v>0</v>
      </c>
      <c r="BH124" s="138">
        <f t="shared" si="530"/>
        <v>0</v>
      </c>
      <c r="BI124" s="138">
        <f t="shared" si="531"/>
        <v>0</v>
      </c>
      <c r="BJ124" s="138">
        <f t="shared" si="532"/>
        <v>0</v>
      </c>
      <c r="BK124" s="452">
        <f t="shared" si="590"/>
        <v>0</v>
      </c>
      <c r="BL124" s="138">
        <f t="shared" si="533"/>
        <v>0</v>
      </c>
      <c r="BN124" s="138">
        <f t="shared" si="534"/>
        <v>0</v>
      </c>
      <c r="BO124" s="138">
        <f t="shared" si="535"/>
        <v>0</v>
      </c>
      <c r="BP124" s="138">
        <f t="shared" si="536"/>
        <v>0</v>
      </c>
      <c r="BQ124" s="138">
        <f t="shared" si="537"/>
        <v>0</v>
      </c>
      <c r="BR124" s="452">
        <f t="shared" si="591"/>
        <v>0</v>
      </c>
      <c r="BS124" s="138">
        <f t="shared" si="538"/>
        <v>0</v>
      </c>
      <c r="BT124" s="30"/>
      <c r="BU124" s="30"/>
      <c r="BV124" s="30"/>
      <c r="BW124" s="30"/>
      <c r="BX124" s="30"/>
      <c r="BY124" s="30"/>
      <c r="BZ124" s="30"/>
      <c r="CA124" s="30"/>
      <c r="CB124" s="30"/>
      <c r="CC124" s="30"/>
      <c r="CD124" s="30"/>
      <c r="CE124" s="30"/>
      <c r="CF124" s="30"/>
      <c r="CG124" s="30"/>
    </row>
    <row r="125" spans="1:85" s="139" customFormat="1" ht="18" customHeight="1" x14ac:dyDescent="0.25">
      <c r="A125" s="371" t="s">
        <v>782</v>
      </c>
      <c r="B125" s="141" t="str">
        <f>'ADA-22'!B$3:E$3</f>
        <v>Aménagement du territoire</v>
      </c>
      <c r="C125" s="419" t="str">
        <f>'ADA-22'!$B$8</f>
        <v>Bocage</v>
      </c>
      <c r="D125" s="133" t="str">
        <f>'ADA-22'!$B$9</f>
        <v>Renforcement du maillage vert</v>
      </c>
      <c r="E125" s="133" t="str">
        <f>'ADA-22'!$B$4</f>
        <v>Territoire</v>
      </c>
      <c r="F125" s="133" t="str">
        <f>'ADA-22'!$B$12</f>
        <v>AC MESSANCY</v>
      </c>
      <c r="G125" s="133" t="str">
        <f>'ADA-22'!$B$6</f>
        <v>Néant</v>
      </c>
      <c r="H125" s="134">
        <f>'ADA-22'!$B$17</f>
        <v>180000</v>
      </c>
      <c r="I125" s="133" t="str">
        <f>'ADA-22'!$B$7</f>
        <v>Néant</v>
      </c>
      <c r="J125" s="134">
        <f>'ADA-22'!$B$18</f>
        <v>0</v>
      </c>
      <c r="K125" s="134">
        <f>'ADA-22'!$B$21</f>
        <v>1</v>
      </c>
      <c r="L125" s="134">
        <f>'ADA-22'!$B$22</f>
        <v>0</v>
      </c>
      <c r="M125" s="135">
        <f>'ADA-22'!$B$24</f>
        <v>180000</v>
      </c>
      <c r="N125" s="220">
        <f>'ADA-22'!$B$25</f>
        <v>0</v>
      </c>
      <c r="O125" s="136">
        <f>IF(H125=0,0,N125/(H125-J125)*1000)</f>
        <v>0</v>
      </c>
      <c r="P125" s="137" t="str">
        <f>'ADA-22'!$B$5</f>
        <v>A faire</v>
      </c>
      <c r="Q125" s="140">
        <f>'ADA-22'!$B$16</f>
        <v>2030</v>
      </c>
      <c r="R125" s="283" t="str">
        <f>IF(P125="terminé", N125,"")</f>
        <v/>
      </c>
      <c r="S125" s="138">
        <f t="shared" si="494"/>
        <v>0</v>
      </c>
      <c r="T125" s="138">
        <f t="shared" si="495"/>
        <v>0</v>
      </c>
      <c r="U125" s="138">
        <f t="shared" si="496"/>
        <v>0</v>
      </c>
      <c r="V125" s="138">
        <f t="shared" si="497"/>
        <v>0</v>
      </c>
      <c r="W125" s="138">
        <f t="shared" si="498"/>
        <v>0</v>
      </c>
      <c r="X125" s="138">
        <f t="shared" si="499"/>
        <v>0</v>
      </c>
      <c r="Y125" s="138">
        <f t="shared" si="500"/>
        <v>0</v>
      </c>
      <c r="AA125" s="138">
        <f t="shared" si="501"/>
        <v>0</v>
      </c>
      <c r="AB125" s="138">
        <f t="shared" si="502"/>
        <v>0</v>
      </c>
      <c r="AC125" s="138">
        <f t="shared" si="503"/>
        <v>0</v>
      </c>
      <c r="AD125" s="138">
        <f t="shared" si="504"/>
        <v>0</v>
      </c>
      <c r="AE125" s="138">
        <f t="shared" si="505"/>
        <v>0</v>
      </c>
      <c r="AF125" s="138">
        <f t="shared" si="506"/>
        <v>0</v>
      </c>
      <c r="AG125" s="138">
        <f t="shared" si="507"/>
        <v>0</v>
      </c>
      <c r="AI125" s="138">
        <f t="shared" si="508"/>
        <v>0</v>
      </c>
      <c r="AJ125" s="138">
        <f t="shared" si="509"/>
        <v>0</v>
      </c>
      <c r="AK125" s="138">
        <f t="shared" si="510"/>
        <v>0</v>
      </c>
      <c r="AL125" s="138">
        <f t="shared" si="511"/>
        <v>0</v>
      </c>
      <c r="AM125" s="138">
        <f t="shared" si="512"/>
        <v>0</v>
      </c>
      <c r="AN125" s="138">
        <f t="shared" si="513"/>
        <v>0</v>
      </c>
      <c r="AO125" s="138">
        <f t="shared" si="514"/>
        <v>0</v>
      </c>
      <c r="AQ125" s="138">
        <f t="shared" si="515"/>
        <v>0</v>
      </c>
      <c r="AR125" s="138">
        <f t="shared" si="516"/>
        <v>0</v>
      </c>
      <c r="AS125" s="138">
        <f t="shared" si="517"/>
        <v>0</v>
      </c>
      <c r="AT125" s="138">
        <f t="shared" si="518"/>
        <v>0</v>
      </c>
      <c r="AU125" s="138">
        <f t="shared" si="519"/>
        <v>0</v>
      </c>
      <c r="AV125" s="138">
        <f t="shared" si="520"/>
        <v>0</v>
      </c>
      <c r="AW125" s="138">
        <f t="shared" si="521"/>
        <v>0</v>
      </c>
      <c r="AY125" s="138">
        <f t="shared" si="522"/>
        <v>0</v>
      </c>
      <c r="AZ125" s="138">
        <f t="shared" si="523"/>
        <v>0</v>
      </c>
      <c r="BA125" s="138">
        <f t="shared" si="524"/>
        <v>0</v>
      </c>
      <c r="BB125" s="138">
        <f t="shared" si="525"/>
        <v>0</v>
      </c>
      <c r="BC125" s="138">
        <f t="shared" si="526"/>
        <v>0</v>
      </c>
      <c r="BD125" s="138">
        <f t="shared" si="527"/>
        <v>0</v>
      </c>
      <c r="BE125" s="138">
        <f t="shared" si="528"/>
        <v>0</v>
      </c>
      <c r="BG125" s="138">
        <f t="shared" si="529"/>
        <v>0</v>
      </c>
      <c r="BH125" s="138">
        <f t="shared" si="530"/>
        <v>0</v>
      </c>
      <c r="BI125" s="138">
        <f t="shared" si="531"/>
        <v>0</v>
      </c>
      <c r="BJ125" s="138">
        <f t="shared" si="532"/>
        <v>0</v>
      </c>
      <c r="BK125" s="452">
        <f t="shared" si="590"/>
        <v>0</v>
      </c>
      <c r="BL125" s="138">
        <f t="shared" si="533"/>
        <v>0</v>
      </c>
      <c r="BN125" s="138">
        <f t="shared" si="534"/>
        <v>0</v>
      </c>
      <c r="BO125" s="138">
        <f t="shared" si="535"/>
        <v>0</v>
      </c>
      <c r="BP125" s="138">
        <f t="shared" si="536"/>
        <v>0</v>
      </c>
      <c r="BQ125" s="138">
        <f t="shared" si="537"/>
        <v>0</v>
      </c>
      <c r="BR125" s="452">
        <f t="shared" si="591"/>
        <v>0</v>
      </c>
      <c r="BS125" s="138">
        <f t="shared" si="538"/>
        <v>0</v>
      </c>
      <c r="BT125" s="30"/>
      <c r="BU125" s="30"/>
      <c r="BV125" s="30"/>
      <c r="BW125" s="30"/>
      <c r="BX125" s="30"/>
      <c r="BY125" s="30"/>
      <c r="BZ125" s="30"/>
      <c r="CA125" s="30"/>
      <c r="CB125" s="30"/>
      <c r="CC125" s="30"/>
      <c r="CD125" s="30"/>
      <c r="CE125" s="30"/>
      <c r="CF125" s="30"/>
      <c r="CG125" s="30"/>
    </row>
    <row r="126" spans="1:85" s="139" customFormat="1" ht="18" customHeight="1" x14ac:dyDescent="0.25">
      <c r="A126" s="371" t="s">
        <v>781</v>
      </c>
      <c r="B126" s="141" t="str">
        <f>'ADA-23'!B$3:E$3</f>
        <v>Aménagement du territoire</v>
      </c>
      <c r="C126" s="419" t="str">
        <f>'ADA-23'!$B$8</f>
        <v>Forêts</v>
      </c>
      <c r="D126" s="133" t="str">
        <f>'ADA-23'!$B$9</f>
        <v>Prévention des incendies de forêt</v>
      </c>
      <c r="E126" s="133" t="str">
        <f>'ADA-23'!$B$4</f>
        <v>Territoire</v>
      </c>
      <c r="F126" s="133" t="str">
        <f>'ADA-23'!$B$12</f>
        <v>AC MESSANCY</v>
      </c>
      <c r="G126" s="133" t="str">
        <f>'ADA-23'!$B$6</f>
        <v>Néant</v>
      </c>
      <c r="H126" s="134">
        <f>'ADA-23'!$B$17</f>
        <v>0</v>
      </c>
      <c r="I126" s="133" t="str">
        <f>'ADA-23'!$B$7</f>
        <v>Néant</v>
      </c>
      <c r="J126" s="134">
        <f>'ADA-23'!$B$18</f>
        <v>0</v>
      </c>
      <c r="K126" s="134">
        <f>'ADA-23'!$B$21</f>
        <v>1</v>
      </c>
      <c r="L126" s="134">
        <f>'ADA-23'!$B$22</f>
        <v>0</v>
      </c>
      <c r="M126" s="135">
        <f>'ADA-23'!$B$24</f>
        <v>0</v>
      </c>
      <c r="N126" s="220">
        <f>'ADA-23'!$B$25</f>
        <v>0</v>
      </c>
      <c r="O126" s="136">
        <f>IF(H126=0,0,N126/(H126-J126)*1000)</f>
        <v>0</v>
      </c>
      <c r="P126" s="137" t="str">
        <f>'ADA-23'!$B$5</f>
        <v>A faire</v>
      </c>
      <c r="Q126" s="140">
        <f>'ADA-23'!$B$16</f>
        <v>2030</v>
      </c>
      <c r="R126" s="283" t="str">
        <f>IF(P126="terminé", N126,"")</f>
        <v/>
      </c>
      <c r="S126" s="138">
        <f t="shared" si="494"/>
        <v>0</v>
      </c>
      <c r="T126" s="138">
        <f t="shared" si="495"/>
        <v>0</v>
      </c>
      <c r="U126" s="138">
        <f t="shared" si="496"/>
        <v>0</v>
      </c>
      <c r="V126" s="138">
        <f t="shared" si="497"/>
        <v>0</v>
      </c>
      <c r="W126" s="138">
        <f t="shared" si="498"/>
        <v>0</v>
      </c>
      <c r="X126" s="138">
        <f t="shared" si="499"/>
        <v>0</v>
      </c>
      <c r="Y126" s="138">
        <f t="shared" si="500"/>
        <v>0</v>
      </c>
      <c r="AA126" s="138">
        <f t="shared" si="501"/>
        <v>0</v>
      </c>
      <c r="AB126" s="138">
        <f t="shared" si="502"/>
        <v>0</v>
      </c>
      <c r="AC126" s="138">
        <f t="shared" si="503"/>
        <v>0</v>
      </c>
      <c r="AD126" s="138">
        <f t="shared" si="504"/>
        <v>0</v>
      </c>
      <c r="AE126" s="138">
        <f t="shared" si="505"/>
        <v>0</v>
      </c>
      <c r="AF126" s="138">
        <f t="shared" si="506"/>
        <v>0</v>
      </c>
      <c r="AG126" s="138">
        <f t="shared" si="507"/>
        <v>0</v>
      </c>
      <c r="AI126" s="138">
        <f t="shared" si="508"/>
        <v>0</v>
      </c>
      <c r="AJ126" s="138">
        <f t="shared" si="509"/>
        <v>0</v>
      </c>
      <c r="AK126" s="138">
        <f t="shared" si="510"/>
        <v>0</v>
      </c>
      <c r="AL126" s="138">
        <f t="shared" si="511"/>
        <v>0</v>
      </c>
      <c r="AM126" s="138">
        <f t="shared" si="512"/>
        <v>0</v>
      </c>
      <c r="AN126" s="138">
        <f t="shared" si="513"/>
        <v>0</v>
      </c>
      <c r="AO126" s="138">
        <f t="shared" si="514"/>
        <v>0</v>
      </c>
      <c r="AQ126" s="138">
        <f t="shared" si="515"/>
        <v>0</v>
      </c>
      <c r="AR126" s="138">
        <f t="shared" si="516"/>
        <v>0</v>
      </c>
      <c r="AS126" s="138">
        <f t="shared" si="517"/>
        <v>0</v>
      </c>
      <c r="AT126" s="138">
        <f t="shared" si="518"/>
        <v>0</v>
      </c>
      <c r="AU126" s="138">
        <f t="shared" si="519"/>
        <v>0</v>
      </c>
      <c r="AV126" s="138">
        <f t="shared" si="520"/>
        <v>0</v>
      </c>
      <c r="AW126" s="138">
        <f t="shared" si="521"/>
        <v>0</v>
      </c>
      <c r="AY126" s="138">
        <f t="shared" si="522"/>
        <v>0</v>
      </c>
      <c r="AZ126" s="138">
        <f t="shared" si="523"/>
        <v>0</v>
      </c>
      <c r="BA126" s="138">
        <f t="shared" si="524"/>
        <v>0</v>
      </c>
      <c r="BB126" s="138">
        <f t="shared" si="525"/>
        <v>0</v>
      </c>
      <c r="BC126" s="138">
        <f t="shared" si="526"/>
        <v>0</v>
      </c>
      <c r="BD126" s="138">
        <f t="shared" si="527"/>
        <v>0</v>
      </c>
      <c r="BE126" s="138">
        <f t="shared" si="528"/>
        <v>0</v>
      </c>
      <c r="BG126" s="138">
        <f t="shared" si="529"/>
        <v>0</v>
      </c>
      <c r="BH126" s="138">
        <f t="shared" si="530"/>
        <v>0</v>
      </c>
      <c r="BI126" s="138">
        <f t="shared" si="531"/>
        <v>0</v>
      </c>
      <c r="BJ126" s="138">
        <f t="shared" si="532"/>
        <v>0</v>
      </c>
      <c r="BK126" s="452">
        <f t="shared" si="590"/>
        <v>0</v>
      </c>
      <c r="BL126" s="138">
        <f t="shared" si="533"/>
        <v>0</v>
      </c>
      <c r="BN126" s="138">
        <f t="shared" si="534"/>
        <v>0</v>
      </c>
      <c r="BO126" s="138">
        <f t="shared" si="535"/>
        <v>0</v>
      </c>
      <c r="BP126" s="138">
        <f t="shared" si="536"/>
        <v>0</v>
      </c>
      <c r="BQ126" s="138">
        <f t="shared" si="537"/>
        <v>0</v>
      </c>
      <c r="BR126" s="452">
        <f t="shared" si="591"/>
        <v>0</v>
      </c>
      <c r="BS126" s="138">
        <f t="shared" si="538"/>
        <v>0</v>
      </c>
      <c r="BT126" s="30"/>
      <c r="BU126" s="30"/>
      <c r="BV126" s="30"/>
      <c r="BW126" s="30"/>
      <c r="BX126" s="30"/>
      <c r="BY126" s="30"/>
      <c r="BZ126" s="30"/>
      <c r="CA126" s="30"/>
      <c r="CB126" s="30"/>
      <c r="CC126" s="30"/>
      <c r="CD126" s="30"/>
      <c r="CE126" s="30"/>
      <c r="CF126" s="30"/>
      <c r="CG126" s="30"/>
    </row>
    <row r="128" spans="1:85" x14ac:dyDescent="0.25">
      <c r="H128" s="759">
        <f>SUM(H2:H109)-H107-H106-H104-H103-H100-H97-H96-H66-H63-H38-H36-H24-H26</f>
        <v>104628420.64581224</v>
      </c>
      <c r="I128" s="759"/>
      <c r="J128" s="759">
        <f>SUM(J2:J109)-J107-J106-J104-J103-J100-J97-J96-J66-J63-J38-J36-J24-J26</f>
        <v>6108156.5640263837</v>
      </c>
      <c r="K128" s="977"/>
      <c r="L128" s="977"/>
      <c r="N128" s="759">
        <f>SUM(N2:N109)-N107-N106-N104-N103-N100-N97-N96-N66-N63-N38-N36-N24-N26</f>
        <v>31662.987016135216</v>
      </c>
    </row>
    <row r="129" spans="1:85" x14ac:dyDescent="0.25">
      <c r="N129" s="139"/>
    </row>
    <row r="130" spans="1:85" x14ac:dyDescent="0.25">
      <c r="D130" s="760" t="s">
        <v>1279</v>
      </c>
      <c r="E130" s="760"/>
      <c r="F130" s="760"/>
      <c r="G130" s="760"/>
      <c r="H130" s="761">
        <f>SUM(H2:H14)+SUM(H17:H23)+H25+SUM(H27:H32)+H37+H52+H53+H61+H62</f>
        <v>1608293.74</v>
      </c>
      <c r="I130" s="762"/>
      <c r="J130" s="762"/>
      <c r="K130" s="762"/>
      <c r="L130" s="762"/>
      <c r="M130" s="760"/>
      <c r="N130" s="942">
        <f>SUM(N2:N14)+SUM(N17:N23)+N25+SUM(N27:N32)+N37+N52+N53+N61+N62</f>
        <v>202.00175191082815</v>
      </c>
    </row>
    <row r="131" spans="1:85" x14ac:dyDescent="0.25">
      <c r="D131" s="763" t="s">
        <v>1280</v>
      </c>
      <c r="E131" s="763"/>
      <c r="F131" s="763"/>
      <c r="G131" s="763"/>
      <c r="H131" s="764">
        <f>H56+H60</f>
        <v>40000</v>
      </c>
      <c r="I131" s="765"/>
      <c r="J131" s="765"/>
      <c r="K131" s="765"/>
      <c r="L131" s="765"/>
      <c r="M131" s="763"/>
      <c r="N131" s="943">
        <f>N56+N60</f>
        <v>316.43209087158976</v>
      </c>
    </row>
    <row r="132" spans="1:85" x14ac:dyDescent="0.25">
      <c r="D132" s="766" t="s">
        <v>1281</v>
      </c>
      <c r="E132" s="766"/>
      <c r="F132" s="766"/>
      <c r="G132" s="766"/>
      <c r="H132" s="767">
        <f>H15+H16+H33+SUM(H39:H51)+H57+H64+H65+H101+H102</f>
        <v>25661442.909465954</v>
      </c>
      <c r="I132" s="768"/>
      <c r="J132" s="768"/>
      <c r="K132" s="768"/>
      <c r="L132" s="768"/>
      <c r="M132" s="766"/>
      <c r="N132" s="944">
        <f>N15+N16+N33+SUM(N39:N51)+N57+N64+N65+N101+N102</f>
        <v>8062.8761394108869</v>
      </c>
    </row>
    <row r="133" spans="1:85" x14ac:dyDescent="0.25">
      <c r="D133" s="769" t="s">
        <v>1282</v>
      </c>
      <c r="E133" s="769"/>
      <c r="F133" s="769"/>
      <c r="G133" s="769"/>
      <c r="H133" s="770">
        <f>H109</f>
        <v>55000</v>
      </c>
      <c r="I133" s="771"/>
      <c r="J133" s="771"/>
      <c r="K133" s="771"/>
      <c r="L133" s="771"/>
      <c r="M133" s="769"/>
      <c r="N133" s="945">
        <f>N109</f>
        <v>119.3663358</v>
      </c>
    </row>
    <row r="134" spans="1:85" x14ac:dyDescent="0.25">
      <c r="D134" s="772" t="s">
        <v>1283</v>
      </c>
      <c r="E134" s="772"/>
      <c r="F134" s="772"/>
      <c r="G134" s="772"/>
      <c r="H134" s="773">
        <f>H35+H55+H58+H59</f>
        <v>8870312.6817332674</v>
      </c>
      <c r="I134" s="774"/>
      <c r="J134" s="774"/>
      <c r="K134" s="774"/>
      <c r="L134" s="774"/>
      <c r="M134" s="772"/>
      <c r="N134" s="946">
        <f>N35+N55+N58+N59</f>
        <v>4037.5651343036275</v>
      </c>
    </row>
    <row r="135" spans="1:85" s="139" customFormat="1" ht="18" customHeight="1" x14ac:dyDescent="0.25">
      <c r="A135" s="361"/>
      <c r="B135" s="406"/>
      <c r="C135" s="362"/>
      <c r="D135" s="775" t="s">
        <v>1284</v>
      </c>
      <c r="E135" s="775"/>
      <c r="F135" s="775"/>
      <c r="G135" s="775"/>
      <c r="H135" s="776">
        <f>SUM(H67:H82)+H34</f>
        <v>40620817.690602958</v>
      </c>
      <c r="I135" s="777"/>
      <c r="J135" s="777"/>
      <c r="K135" s="777"/>
      <c r="L135" s="777"/>
      <c r="M135" s="775"/>
      <c r="N135" s="947">
        <f>SUM(N67:N82)+N34</f>
        <v>2744.3898390171516</v>
      </c>
      <c r="O135" s="365"/>
      <c r="P135" s="362"/>
      <c r="Q135" s="366"/>
      <c r="R135" s="366">
        <f>SUM(R110:R126)</f>
        <v>0</v>
      </c>
      <c r="S135" s="366">
        <f t="shared" ref="S135:BS135" si="592">SUM(S110:S126)</f>
        <v>0</v>
      </c>
      <c r="T135" s="366">
        <f t="shared" si="592"/>
        <v>0</v>
      </c>
      <c r="U135" s="366">
        <f t="shared" si="592"/>
        <v>0</v>
      </c>
      <c r="V135" s="366">
        <f t="shared" si="592"/>
        <v>0</v>
      </c>
      <c r="W135" s="366">
        <f t="shared" si="592"/>
        <v>0</v>
      </c>
      <c r="X135" s="366">
        <f t="shared" si="592"/>
        <v>0</v>
      </c>
      <c r="Y135" s="366">
        <f t="shared" si="592"/>
        <v>0</v>
      </c>
      <c r="Z135" s="366">
        <f t="shared" si="592"/>
        <v>0</v>
      </c>
      <c r="AA135" s="366">
        <f t="shared" si="592"/>
        <v>168000</v>
      </c>
      <c r="AB135" s="366">
        <f t="shared" si="592"/>
        <v>0</v>
      </c>
      <c r="AC135" s="366">
        <f t="shared" si="592"/>
        <v>0</v>
      </c>
      <c r="AD135" s="366">
        <f t="shared" si="592"/>
        <v>0</v>
      </c>
      <c r="AE135" s="366">
        <f t="shared" si="592"/>
        <v>0</v>
      </c>
      <c r="AF135" s="366">
        <f t="shared" si="592"/>
        <v>0</v>
      </c>
      <c r="AG135" s="366">
        <f t="shared" si="592"/>
        <v>0</v>
      </c>
      <c r="AH135" s="366">
        <f t="shared" si="592"/>
        <v>0</v>
      </c>
      <c r="AI135" s="366">
        <f t="shared" si="592"/>
        <v>30000</v>
      </c>
      <c r="AJ135" s="366">
        <f t="shared" si="592"/>
        <v>0</v>
      </c>
      <c r="AK135" s="366">
        <f t="shared" si="592"/>
        <v>0</v>
      </c>
      <c r="AL135" s="366">
        <f t="shared" si="592"/>
        <v>0</v>
      </c>
      <c r="AM135" s="366">
        <f t="shared" si="592"/>
        <v>0</v>
      </c>
      <c r="AN135" s="366">
        <f t="shared" si="592"/>
        <v>0</v>
      </c>
      <c r="AO135" s="366">
        <f t="shared" si="592"/>
        <v>0</v>
      </c>
      <c r="AP135" s="366">
        <f t="shared" si="592"/>
        <v>0</v>
      </c>
      <c r="AQ135" s="366">
        <f t="shared" si="592"/>
        <v>6</v>
      </c>
      <c r="AR135" s="366">
        <f t="shared" si="592"/>
        <v>0</v>
      </c>
      <c r="AS135" s="366">
        <f t="shared" si="592"/>
        <v>0</v>
      </c>
      <c r="AT135" s="366">
        <f t="shared" si="592"/>
        <v>0</v>
      </c>
      <c r="AU135" s="366">
        <f t="shared" si="592"/>
        <v>0</v>
      </c>
      <c r="AV135" s="366">
        <f t="shared" si="592"/>
        <v>0</v>
      </c>
      <c r="AW135" s="366">
        <f t="shared" si="592"/>
        <v>0</v>
      </c>
      <c r="AX135" s="366">
        <f t="shared" si="592"/>
        <v>0</v>
      </c>
      <c r="AY135" s="366">
        <f t="shared" si="592"/>
        <v>0</v>
      </c>
      <c r="AZ135" s="366">
        <f t="shared" si="592"/>
        <v>0</v>
      </c>
      <c r="BA135" s="366">
        <f t="shared" si="592"/>
        <v>0</v>
      </c>
      <c r="BB135" s="366">
        <f t="shared" si="592"/>
        <v>0</v>
      </c>
      <c r="BC135" s="366">
        <f t="shared" si="592"/>
        <v>0</v>
      </c>
      <c r="BD135" s="366">
        <f t="shared" si="592"/>
        <v>0</v>
      </c>
      <c r="BE135" s="366">
        <f t="shared" si="592"/>
        <v>0</v>
      </c>
      <c r="BF135" s="366">
        <f t="shared" si="592"/>
        <v>0</v>
      </c>
      <c r="BG135" s="366">
        <f t="shared" si="592"/>
        <v>0</v>
      </c>
      <c r="BH135" s="366">
        <f t="shared" si="592"/>
        <v>0</v>
      </c>
      <c r="BI135" s="366">
        <f t="shared" si="592"/>
        <v>0</v>
      </c>
      <c r="BJ135" s="366">
        <f t="shared" si="592"/>
        <v>0</v>
      </c>
      <c r="BK135" s="366">
        <f t="shared" si="592"/>
        <v>168000</v>
      </c>
      <c r="BL135" s="366">
        <f t="shared" si="592"/>
        <v>0</v>
      </c>
      <c r="BM135" s="366">
        <f t="shared" si="592"/>
        <v>0</v>
      </c>
      <c r="BN135" s="366">
        <f t="shared" si="592"/>
        <v>0</v>
      </c>
      <c r="BO135" s="366">
        <f t="shared" si="592"/>
        <v>0</v>
      </c>
      <c r="BP135" s="366">
        <f t="shared" si="592"/>
        <v>0</v>
      </c>
      <c r="BQ135" s="366">
        <f t="shared" si="592"/>
        <v>0</v>
      </c>
      <c r="BR135" s="366">
        <f t="shared" si="592"/>
        <v>30000</v>
      </c>
      <c r="BS135" s="366">
        <f t="shared" si="592"/>
        <v>0</v>
      </c>
      <c r="BT135" s="366"/>
      <c r="BU135" s="366"/>
      <c r="BV135" s="366"/>
      <c r="BW135" s="366"/>
      <c r="BX135" s="366"/>
      <c r="BY135" s="366"/>
      <c r="BZ135" s="366"/>
      <c r="CA135" s="366"/>
      <c r="CB135" s="366"/>
      <c r="CC135" s="366"/>
      <c r="CD135" s="366"/>
      <c r="CE135" s="30"/>
      <c r="CF135" s="30"/>
      <c r="CG135" s="30"/>
    </row>
    <row r="136" spans="1:85" s="139" customFormat="1" ht="18" customHeight="1" x14ac:dyDescent="0.25">
      <c r="A136" s="361"/>
      <c r="B136" s="406"/>
      <c r="C136" s="362"/>
      <c r="D136" s="778" t="s">
        <v>1285</v>
      </c>
      <c r="E136" s="778"/>
      <c r="F136" s="778"/>
      <c r="G136" s="778"/>
      <c r="H136" s="779">
        <f>SUM(H83:H99)-H96-H97</f>
        <v>27559553.62401006</v>
      </c>
      <c r="I136" s="780"/>
      <c r="J136" s="780"/>
      <c r="K136" s="780"/>
      <c r="L136" s="780"/>
      <c r="M136" s="778"/>
      <c r="N136" s="948">
        <f>SUM(N83:N99)-N96-N97</f>
        <v>15297.157700391735</v>
      </c>
      <c r="O136" s="365"/>
      <c r="P136" s="362"/>
      <c r="Q136" s="366"/>
      <c r="R136" s="366">
        <f>SUM(R2:R126)</f>
        <v>21681.731761398307</v>
      </c>
      <c r="S136" s="366">
        <f t="shared" ref="S136:BS136" si="593">SUM(S2:S126)</f>
        <v>519.60710559917231</v>
      </c>
      <c r="T136" s="366">
        <f t="shared" si="593"/>
        <v>0</v>
      </c>
      <c r="U136" s="366">
        <f t="shared" si="593"/>
        <v>3073.8093019976477</v>
      </c>
      <c r="V136" s="366">
        <f t="shared" si="593"/>
        <v>5299.5102580225721</v>
      </c>
      <c r="W136" s="366">
        <f t="shared" si="593"/>
        <v>1358.4517588636363</v>
      </c>
      <c r="X136" s="366">
        <f t="shared" si="593"/>
        <v>287.35028426817206</v>
      </c>
      <c r="Y136" s="366">
        <f t="shared" si="593"/>
        <v>11143.003052647109</v>
      </c>
      <c r="Z136" s="366">
        <f t="shared" si="593"/>
        <v>0</v>
      </c>
      <c r="AA136" s="366">
        <f t="shared" si="593"/>
        <v>698734.82401005668</v>
      </c>
      <c r="AB136" s="366">
        <f t="shared" si="593"/>
        <v>0</v>
      </c>
      <c r="AC136" s="366">
        <f t="shared" si="593"/>
        <v>8850312.6817332674</v>
      </c>
      <c r="AD136" s="366">
        <f t="shared" si="593"/>
        <v>16314842.909465954</v>
      </c>
      <c r="AE136" s="366">
        <f t="shared" si="593"/>
        <v>1979405</v>
      </c>
      <c r="AF136" s="366">
        <f t="shared" si="593"/>
        <v>1333317.6906029652</v>
      </c>
      <c r="AG136" s="366">
        <f t="shared" si="593"/>
        <v>15791357.67</v>
      </c>
      <c r="AH136" s="366">
        <f t="shared" si="593"/>
        <v>0</v>
      </c>
      <c r="AI136" s="366">
        <f t="shared" si="593"/>
        <v>164123.94720301699</v>
      </c>
      <c r="AJ136" s="366">
        <f t="shared" si="593"/>
        <v>0</v>
      </c>
      <c r="AK136" s="366">
        <f t="shared" si="593"/>
        <v>881031.26817332674</v>
      </c>
      <c r="AL136" s="366">
        <f t="shared" si="593"/>
        <v>1037644.2909465953</v>
      </c>
      <c r="AM136" s="366">
        <f t="shared" si="593"/>
        <v>90000</v>
      </c>
      <c r="AN136" s="366">
        <f t="shared" si="593"/>
        <v>70896.438703444946</v>
      </c>
      <c r="AO136" s="366">
        <f t="shared" si="593"/>
        <v>3562420.5</v>
      </c>
      <c r="AP136" s="366">
        <f t="shared" si="593"/>
        <v>0</v>
      </c>
      <c r="AQ136" s="366">
        <f t="shared" si="593"/>
        <v>79189.061907515483</v>
      </c>
      <c r="AR136" s="366">
        <f t="shared" si="593"/>
        <v>0</v>
      </c>
      <c r="AS136" s="366">
        <f t="shared" si="593"/>
        <v>3577993.904112637</v>
      </c>
      <c r="AT136" s="366">
        <f t="shared" si="593"/>
        <v>11881831.417347645</v>
      </c>
      <c r="AU136" s="366">
        <f t="shared" si="593"/>
        <v>504416.69999999995</v>
      </c>
      <c r="AV136" s="366">
        <f t="shared" si="593"/>
        <v>921267.79026604828</v>
      </c>
      <c r="AW136" s="366">
        <f t="shared" si="593"/>
        <v>886363.6980924845</v>
      </c>
      <c r="AX136" s="366">
        <f t="shared" si="593"/>
        <v>0</v>
      </c>
      <c r="AY136" s="366">
        <f t="shared" si="593"/>
        <v>18006.560000000001</v>
      </c>
      <c r="AZ136" s="366">
        <f t="shared" si="593"/>
        <v>0</v>
      </c>
      <c r="BA136" s="366">
        <f t="shared" si="593"/>
        <v>0</v>
      </c>
      <c r="BB136" s="366">
        <f t="shared" si="593"/>
        <v>649764.02399999998</v>
      </c>
      <c r="BC136" s="366">
        <f t="shared" si="593"/>
        <v>290862</v>
      </c>
      <c r="BD136" s="366">
        <f t="shared" si="593"/>
        <v>0</v>
      </c>
      <c r="BE136" s="366">
        <f t="shared" si="593"/>
        <v>1410241.1344002872</v>
      </c>
      <c r="BF136" s="366">
        <f t="shared" si="593"/>
        <v>0</v>
      </c>
      <c r="BG136" s="366">
        <f t="shared" si="593"/>
        <v>0</v>
      </c>
      <c r="BH136" s="366">
        <f t="shared" si="593"/>
        <v>8850312.6817332674</v>
      </c>
      <c r="BI136" s="366">
        <f t="shared" si="593"/>
        <v>17648160.600068919</v>
      </c>
      <c r="BJ136" s="366">
        <f t="shared" si="593"/>
        <v>0</v>
      </c>
      <c r="BK136" s="366">
        <f t="shared" si="593"/>
        <v>16490092.494010057</v>
      </c>
      <c r="BL136" s="366">
        <f t="shared" si="593"/>
        <v>1979405</v>
      </c>
      <c r="BM136" s="366">
        <f t="shared" si="593"/>
        <v>0</v>
      </c>
      <c r="BN136" s="366">
        <f t="shared" si="593"/>
        <v>0</v>
      </c>
      <c r="BO136" s="366">
        <f t="shared" si="593"/>
        <v>881031.26817332674</v>
      </c>
      <c r="BP136" s="366">
        <f t="shared" si="593"/>
        <v>1108540.7296500402</v>
      </c>
      <c r="BQ136" s="366">
        <f t="shared" si="593"/>
        <v>0</v>
      </c>
      <c r="BR136" s="366">
        <f t="shared" si="593"/>
        <v>3726544.4472030168</v>
      </c>
      <c r="BS136" s="366">
        <f t="shared" si="593"/>
        <v>90000</v>
      </c>
      <c r="BT136" s="366"/>
      <c r="BU136" s="366"/>
      <c r="BV136" s="366"/>
      <c r="BW136" s="366"/>
      <c r="BX136" s="366"/>
      <c r="BY136" s="366"/>
      <c r="BZ136" s="366"/>
      <c r="CA136" s="366"/>
      <c r="CB136" s="366"/>
      <c r="CC136" s="366"/>
      <c r="CD136" s="366"/>
      <c r="CE136" s="30"/>
      <c r="CF136" s="30"/>
      <c r="CG136" s="30"/>
    </row>
    <row r="137" spans="1:85" x14ac:dyDescent="0.25">
      <c r="D137" s="781" t="s">
        <v>1286</v>
      </c>
      <c r="E137" s="781"/>
      <c r="F137" s="781"/>
      <c r="G137" s="781"/>
      <c r="H137" s="782"/>
      <c r="I137" s="783"/>
      <c r="J137" s="783"/>
      <c r="K137" s="783"/>
      <c r="L137" s="783"/>
      <c r="M137" s="781"/>
      <c r="N137" s="949"/>
    </row>
    <row r="138" spans="1:85" ht="18.75" x14ac:dyDescent="0.25">
      <c r="D138" s="784" t="s">
        <v>1287</v>
      </c>
      <c r="E138" s="785"/>
      <c r="F138" s="785"/>
      <c r="G138" s="785"/>
      <c r="H138" s="786">
        <f>H54+H105+H108</f>
        <v>213000</v>
      </c>
      <c r="I138" s="787"/>
      <c r="J138" s="787"/>
      <c r="K138" s="787"/>
      <c r="L138" s="787"/>
      <c r="M138" s="785"/>
      <c r="N138" s="950">
        <f>N54+N105+N108</f>
        <v>883.19802442940113</v>
      </c>
      <c r="R138" s="285">
        <f>R136-R135</f>
        <v>21681.731761398307</v>
      </c>
      <c r="S138" s="285">
        <f t="shared" ref="S138:BS138" si="594">S136-S135</f>
        <v>519.60710559917231</v>
      </c>
      <c r="T138" s="285">
        <f t="shared" si="594"/>
        <v>0</v>
      </c>
      <c r="U138" s="285">
        <f t="shared" si="594"/>
        <v>3073.8093019976477</v>
      </c>
      <c r="V138" s="285">
        <f t="shared" si="594"/>
        <v>5299.5102580225721</v>
      </c>
      <c r="W138" s="285">
        <f t="shared" si="594"/>
        <v>1358.4517588636363</v>
      </c>
      <c r="X138" s="285">
        <f t="shared" si="594"/>
        <v>287.35028426817206</v>
      </c>
      <c r="Y138" s="285">
        <f t="shared" si="594"/>
        <v>11143.003052647109</v>
      </c>
      <c r="Z138" s="285">
        <f t="shared" si="594"/>
        <v>0</v>
      </c>
      <c r="AA138" s="285">
        <f t="shared" si="594"/>
        <v>530734.82401005668</v>
      </c>
      <c r="AB138" s="285">
        <f t="shared" si="594"/>
        <v>0</v>
      </c>
      <c r="AC138" s="285">
        <f t="shared" si="594"/>
        <v>8850312.6817332674</v>
      </c>
      <c r="AD138" s="285">
        <f t="shared" si="594"/>
        <v>16314842.909465954</v>
      </c>
      <c r="AE138" s="285">
        <f t="shared" si="594"/>
        <v>1979405</v>
      </c>
      <c r="AF138" s="285">
        <f t="shared" si="594"/>
        <v>1333317.6906029652</v>
      </c>
      <c r="AG138" s="285">
        <f t="shared" si="594"/>
        <v>15791357.67</v>
      </c>
      <c r="AH138" s="285">
        <f t="shared" si="594"/>
        <v>0</v>
      </c>
      <c r="AI138" s="285">
        <f t="shared" si="594"/>
        <v>134123.94720301699</v>
      </c>
      <c r="AJ138" s="285">
        <f t="shared" si="594"/>
        <v>0</v>
      </c>
      <c r="AK138" s="285">
        <f t="shared" si="594"/>
        <v>881031.26817332674</v>
      </c>
      <c r="AL138" s="285">
        <f t="shared" si="594"/>
        <v>1037644.2909465953</v>
      </c>
      <c r="AM138" s="285">
        <f t="shared" si="594"/>
        <v>90000</v>
      </c>
      <c r="AN138" s="285">
        <f t="shared" si="594"/>
        <v>70896.438703444946</v>
      </c>
      <c r="AO138" s="285">
        <f t="shared" si="594"/>
        <v>3562420.5</v>
      </c>
      <c r="AP138" s="285">
        <f t="shared" si="594"/>
        <v>0</v>
      </c>
      <c r="AQ138" s="285">
        <f t="shared" si="594"/>
        <v>79183.061907515483</v>
      </c>
      <c r="AR138" s="285">
        <f t="shared" si="594"/>
        <v>0</v>
      </c>
      <c r="AS138" s="285">
        <f t="shared" si="594"/>
        <v>3577993.904112637</v>
      </c>
      <c r="AT138" s="285">
        <f t="shared" si="594"/>
        <v>11881831.417347645</v>
      </c>
      <c r="AU138" s="285">
        <f t="shared" si="594"/>
        <v>504416.69999999995</v>
      </c>
      <c r="AV138" s="285">
        <f t="shared" si="594"/>
        <v>921267.79026604828</v>
      </c>
      <c r="AW138" s="285">
        <f t="shared" si="594"/>
        <v>886363.6980924845</v>
      </c>
      <c r="AX138" s="285">
        <f t="shared" si="594"/>
        <v>0</v>
      </c>
      <c r="AY138" s="285">
        <f t="shared" si="594"/>
        <v>18006.560000000001</v>
      </c>
      <c r="AZ138" s="285">
        <f t="shared" si="594"/>
        <v>0</v>
      </c>
      <c r="BA138" s="285">
        <f t="shared" si="594"/>
        <v>0</v>
      </c>
      <c r="BB138" s="285">
        <f t="shared" si="594"/>
        <v>649764.02399999998</v>
      </c>
      <c r="BC138" s="285">
        <f t="shared" si="594"/>
        <v>290862</v>
      </c>
      <c r="BD138" s="285">
        <f t="shared" si="594"/>
        <v>0</v>
      </c>
      <c r="BE138" s="285">
        <f t="shared" si="594"/>
        <v>1410241.1344002872</v>
      </c>
      <c r="BF138" s="285">
        <f t="shared" si="594"/>
        <v>0</v>
      </c>
      <c r="BG138" s="285">
        <f t="shared" si="594"/>
        <v>0</v>
      </c>
      <c r="BH138" s="285">
        <f t="shared" si="594"/>
        <v>8850312.6817332674</v>
      </c>
      <c r="BI138" s="285">
        <f t="shared" si="594"/>
        <v>17648160.600068919</v>
      </c>
      <c r="BJ138" s="285">
        <f t="shared" si="594"/>
        <v>0</v>
      </c>
      <c r="BK138" s="285">
        <f t="shared" si="594"/>
        <v>16322092.494010057</v>
      </c>
      <c r="BL138" s="285">
        <f t="shared" si="594"/>
        <v>1979405</v>
      </c>
      <c r="BM138" s="285">
        <f t="shared" si="594"/>
        <v>0</v>
      </c>
      <c r="BN138" s="285">
        <f t="shared" si="594"/>
        <v>0</v>
      </c>
      <c r="BO138" s="285">
        <f t="shared" si="594"/>
        <v>881031.26817332674</v>
      </c>
      <c r="BP138" s="285">
        <f t="shared" si="594"/>
        <v>1108540.7296500402</v>
      </c>
      <c r="BQ138" s="285">
        <f t="shared" si="594"/>
        <v>0</v>
      </c>
      <c r="BR138" s="285">
        <f t="shared" si="594"/>
        <v>3696544.4472030168</v>
      </c>
      <c r="BS138" s="285">
        <f t="shared" si="594"/>
        <v>90000</v>
      </c>
    </row>
    <row r="139" spans="1:85" x14ac:dyDescent="0.25">
      <c r="N139" s="139"/>
    </row>
    <row r="140" spans="1:85" x14ac:dyDescent="0.25">
      <c r="D140" s="289"/>
      <c r="E140" s="289"/>
      <c r="F140" s="289"/>
      <c r="G140" s="289"/>
      <c r="H140" s="788">
        <f>SUM(H130:H138)</f>
        <v>104628420.64581224</v>
      </c>
      <c r="I140" s="789">
        <f>+H140-H128</f>
        <v>0</v>
      </c>
      <c r="J140" s="789"/>
      <c r="K140" s="789"/>
      <c r="L140" s="789"/>
      <c r="M140" s="289"/>
      <c r="N140" s="790">
        <f>SUM(N130:N138)</f>
        <v>31662.987016135223</v>
      </c>
    </row>
    <row r="141" spans="1:85" x14ac:dyDescent="0.25">
      <c r="D141" s="289"/>
      <c r="E141" s="289"/>
      <c r="F141" s="289"/>
      <c r="G141" s="289"/>
      <c r="H141" s="789"/>
      <c r="I141" s="789"/>
      <c r="J141" s="789"/>
      <c r="K141" s="789"/>
      <c r="L141" s="789"/>
      <c r="M141" s="289"/>
      <c r="N141" s="289"/>
    </row>
    <row r="142" spans="1:85" x14ac:dyDescent="0.25">
      <c r="D142" s="289"/>
      <c r="E142" s="289"/>
      <c r="F142" s="289"/>
      <c r="G142" s="289"/>
      <c r="H142" s="789"/>
      <c r="I142" s="789"/>
      <c r="J142" s="789"/>
      <c r="K142" s="789"/>
      <c r="L142" s="789"/>
      <c r="M142" s="289"/>
      <c r="N142" s="289"/>
    </row>
    <row r="143" spans="1:85" x14ac:dyDescent="0.25">
      <c r="D143" s="289"/>
      <c r="E143" s="289"/>
      <c r="F143" s="289"/>
      <c r="G143" s="289"/>
      <c r="H143" s="789"/>
      <c r="I143" s="789"/>
      <c r="J143" s="789"/>
      <c r="K143" s="789"/>
      <c r="L143" s="789"/>
      <c r="M143" s="289"/>
      <c r="N143" s="289"/>
    </row>
    <row r="144" spans="1:85" x14ac:dyDescent="0.25">
      <c r="F144" s="791" t="s">
        <v>1279</v>
      </c>
      <c r="G144" s="791" t="s">
        <v>1288</v>
      </c>
      <c r="H144" s="792">
        <f>H105+H93+H91+H90+H86+H81+H80+H79+H73+H69+H62+H61+H53+H52+H37+H109</f>
        <v>17589514.364010058</v>
      </c>
      <c r="I144" s="789"/>
      <c r="J144" s="792">
        <f>J102+J95+J85+J83+J73+J74+J78+J80+SUM(J66:J70)+J60+J61+J46+J109</f>
        <v>-1188805.0029999996</v>
      </c>
      <c r="K144" s="789"/>
      <c r="L144" s="793">
        <f>((H144+H145)-(J144+J145))/H148</f>
        <v>0.15560555887869393</v>
      </c>
      <c r="M144" s="794"/>
      <c r="N144" s="289"/>
    </row>
    <row r="145" spans="4:14" x14ac:dyDescent="0.25">
      <c r="F145" s="791"/>
      <c r="G145" s="791" t="s">
        <v>1289</v>
      </c>
      <c r="H145" s="792">
        <f>H68+H32+H31+H30+H29+H28+H27+H25+SUM(H17:H23)+SUM(H2:H14)</f>
        <v>355065</v>
      </c>
      <c r="I145" s="789"/>
      <c r="J145" s="792">
        <f>SUM(J15:J40)-J27-J28+J108+J104+J105</f>
        <v>2852620.4978233669</v>
      </c>
      <c r="K145" s="789"/>
      <c r="L145" s="793">
        <f>(J144+J145)/H148</f>
        <v>1.5902137149290532E-2</v>
      </c>
      <c r="M145" s="794"/>
      <c r="N145" s="289"/>
    </row>
    <row r="146" spans="4:14" x14ac:dyDescent="0.25">
      <c r="F146" s="791" t="s">
        <v>1290</v>
      </c>
      <c r="G146" s="791" t="s">
        <v>1288</v>
      </c>
      <c r="H146" s="795">
        <f>H108+H102+H101+H99+H98+H95+H94+H92+H89+H88+H87+H85+H84+H83+H82+H77+H76+H75+H74+H72+H71+H70+H65+H64+H57+SUM(H39:H51)+H35+H34+H33</f>
        <v>86558341.281802177</v>
      </c>
      <c r="I146" s="789"/>
      <c r="J146" s="795">
        <f>J99+J103+J101+J100+SUM(J82:J96)-J83-J85-J94-J95+J75+J76+J77+J79+J81+J71+J65+SUM(J47:J59)+J41+J42+J43+J44+J45</f>
        <v>4885841.0692030173</v>
      </c>
      <c r="K146" s="789"/>
      <c r="L146" s="793">
        <f>(H146+H147)/H148</f>
        <v>0.82849230397201545</v>
      </c>
      <c r="M146" s="796">
        <f>J146/H148</f>
        <v>4.6697073692267124E-2</v>
      </c>
      <c r="N146" s="289"/>
    </row>
    <row r="147" spans="4:14" x14ac:dyDescent="0.25">
      <c r="D147" s="289"/>
      <c r="F147" s="791"/>
      <c r="G147" s="791" t="s">
        <v>1289</v>
      </c>
      <c r="H147" s="792">
        <f>H67+H60+H59+H58+H56+H55+H54+H16+H15</f>
        <v>125500</v>
      </c>
      <c r="I147" s="789"/>
      <c r="J147" s="792">
        <f>J107+J72+J27+J28+J62+J63+J64+J106</f>
        <v>66500</v>
      </c>
      <c r="K147" s="789"/>
      <c r="L147" s="789"/>
      <c r="M147" s="289"/>
      <c r="N147" s="289"/>
    </row>
    <row r="148" spans="4:14" x14ac:dyDescent="0.25">
      <c r="D148" s="289"/>
      <c r="E148" s="289"/>
      <c r="F148" s="791"/>
      <c r="G148" s="791" t="s">
        <v>1291</v>
      </c>
      <c r="H148" s="795">
        <f>H147+H146+H145+H144</f>
        <v>104628420.64581224</v>
      </c>
      <c r="I148" s="789">
        <f>H140-H148</f>
        <v>0</v>
      </c>
      <c r="J148" s="789"/>
      <c r="K148" s="789"/>
      <c r="L148" s="789"/>
      <c r="M148" s="289"/>
      <c r="N148" s="289"/>
    </row>
    <row r="149" spans="4:14" x14ac:dyDescent="0.25">
      <c r="D149" s="289"/>
      <c r="E149" s="791" t="s">
        <v>1292</v>
      </c>
      <c r="F149" s="289"/>
      <c r="G149" s="978" t="s">
        <v>1293</v>
      </c>
      <c r="H149" s="978"/>
      <c r="I149" s="979"/>
      <c r="J149" s="789"/>
      <c r="K149" s="789"/>
      <c r="L149" s="789"/>
      <c r="M149" s="289"/>
      <c r="N149" s="289"/>
    </row>
    <row r="150" spans="4:14" x14ac:dyDescent="0.25">
      <c r="E150" s="791">
        <v>7305</v>
      </c>
      <c r="F150" s="791">
        <v>2006</v>
      </c>
      <c r="G150" s="797">
        <f>'Objectifs CO2'!B3</f>
        <v>54204.29621977346</v>
      </c>
      <c r="H150" s="798">
        <f>G150*E152/E150</f>
        <v>67932.948284546394</v>
      </c>
      <c r="I150" s="792" t="s">
        <v>56</v>
      </c>
      <c r="J150" s="789"/>
      <c r="K150" s="789"/>
      <c r="L150" s="789"/>
      <c r="M150" s="289"/>
      <c r="N150" s="289"/>
    </row>
    <row r="151" spans="4:14" x14ac:dyDescent="0.25">
      <c r="E151" s="791">
        <v>8153</v>
      </c>
      <c r="F151" s="791">
        <v>2017</v>
      </c>
      <c r="G151" s="797">
        <f>'Objectifs PER'!B3</f>
        <v>215029.19245270186</v>
      </c>
      <c r="H151" s="798">
        <f>G151*E152/E150</f>
        <v>269490.94498580357</v>
      </c>
      <c r="I151" s="792" t="s">
        <v>64</v>
      </c>
      <c r="J151" s="789"/>
      <c r="K151" s="789"/>
      <c r="L151" s="789"/>
      <c r="M151" s="289"/>
      <c r="N151" s="289"/>
    </row>
    <row r="152" spans="4:14" x14ac:dyDescent="0.25">
      <c r="E152" s="797">
        <f>E151+(E151-E150)/(F151-F150)*(F152-F151)</f>
        <v>9155.181818181818</v>
      </c>
      <c r="F152" s="791">
        <v>2030</v>
      </c>
      <c r="G152" s="289"/>
      <c r="I152" s="789"/>
      <c r="J152" s="789"/>
      <c r="K152" s="789"/>
      <c r="L152" s="789"/>
      <c r="M152" s="289"/>
      <c r="N152" s="289"/>
    </row>
    <row r="153" spans="4:14" x14ac:dyDescent="0.25">
      <c r="D153" s="289"/>
      <c r="E153" s="797">
        <f>E152+(E152-E151)/(F152-F151)*(F153-F152)</f>
        <v>10697</v>
      </c>
      <c r="F153" s="791">
        <v>2050</v>
      </c>
      <c r="G153" s="789"/>
      <c r="H153" s="789"/>
      <c r="I153" s="789"/>
      <c r="J153" s="789"/>
      <c r="K153" s="789"/>
      <c r="L153" s="789"/>
      <c r="M153" s="289"/>
      <c r="N153" s="289"/>
    </row>
  </sheetData>
  <autoFilter ref="A1:Y103">
    <sortState ref="A4:S44">
      <sortCondition ref="A4:A44"/>
    </sortState>
  </autoFilter>
  <sortState ref="A4:S37">
    <sortCondition ref="A4:A37"/>
  </sortState>
  <mergeCells count="2">
    <mergeCell ref="K128:L128"/>
    <mergeCell ref="G149:I149"/>
  </mergeCells>
  <conditionalFormatting sqref="CA135:CD136 P2:R126">
    <cfRule type="containsText" dxfId="416" priority="22" operator="containsText" text="Terminé">
      <formula>NOT(ISERROR(SEARCH("Terminé",P2)))</formula>
    </cfRule>
    <cfRule type="containsText" dxfId="415" priority="23" operator="containsText" text="En cours">
      <formula>NOT(ISERROR(SEARCH("En cours",P2)))</formula>
    </cfRule>
    <cfRule type="containsText" dxfId="414" priority="24" operator="containsText" text="A faire">
      <formula>NOT(ISERROR(SEARCH("A faire",P2)))</formula>
    </cfRule>
  </conditionalFormatting>
  <conditionalFormatting sqref="P135:BZ136">
    <cfRule type="containsText" dxfId="413" priority="1" operator="containsText" text="Terminé">
      <formula>NOT(ISERROR(SEARCH("Terminé",P135)))</formula>
    </cfRule>
    <cfRule type="containsText" dxfId="412" priority="2" operator="containsText" text="En cours">
      <formula>NOT(ISERROR(SEARCH("En cours",P135)))</formula>
    </cfRule>
    <cfRule type="containsText" dxfId="411" priority="3" operator="containsText" text="A faire">
      <formula>NOT(ISERROR(SEARCH("A faire",P135)))</formula>
    </cfRule>
  </conditionalFormatting>
  <hyperlinks>
    <hyperlink ref="A2" location="'ADO-1'!A1" display="ADO-1"/>
    <hyperlink ref="A3" location="'ADO-2'!A1" display="ADO-2"/>
    <hyperlink ref="A4" location="'ADO-3'!A1" display="'ADO-3'!A1"/>
    <hyperlink ref="A5" location="'ADO-4'!A1" display="'ADO-4'!A1"/>
    <hyperlink ref="A6" location="'ADO-5'!A1" display="ADO-5"/>
    <hyperlink ref="A7" location="'ADO-6'!A1" display="ADO-6"/>
    <hyperlink ref="A13" location="'ADO-20'!A1" display="ADO-20"/>
    <hyperlink ref="A14:A21" location="'ADO-7'!A1" display="'ADO-7'!A1"/>
    <hyperlink ref="A14" location="'ADO-21'!A1" display="ADO-21"/>
    <hyperlink ref="A15" location="'ADO-22'!A1" display="ADO-22"/>
    <hyperlink ref="A16" location="'ADO-23'!A1" display="ADO-23"/>
    <hyperlink ref="A17" location="'ADO-24'!A1" display="ADO-24"/>
    <hyperlink ref="A18" location="'ADO-25'!A1" display="ADO-25"/>
    <hyperlink ref="A19" location="'ADO-26'!A1" display="ADO-26"/>
    <hyperlink ref="A20" location="'ADO-27'!A1" display="ADO-27"/>
    <hyperlink ref="A21" location="'ADO-28'!A1" display="ADO-28"/>
    <hyperlink ref="A31" location="'ADO-40'!A1" display="ADO-40"/>
    <hyperlink ref="A32" location="'ADO-41'!A1" display="ADO-41"/>
    <hyperlink ref="A33" location="'ADU-1'!A1" display="ADU-1"/>
    <hyperlink ref="A34" location="'ADU-2'!A1" display="'ADU-2'!A1"/>
    <hyperlink ref="A35" location="'ADU-3'!A1" display="ADU-3"/>
    <hyperlink ref="A36" location="'ADU-4'!A1" display="ADU-4"/>
    <hyperlink ref="A39" location="'ADU-7'!A1" display="ADU-7"/>
    <hyperlink ref="A42" location="'ADU-10'!A1" display="ADU-10"/>
    <hyperlink ref="A37" location="'ADU-5'!A1" display="ADU-5"/>
    <hyperlink ref="A40" location="'ADU-8'!A1" display="ADU-8"/>
    <hyperlink ref="A38" location="'ADU-6'!A1" display="ADU-6"/>
    <hyperlink ref="A41" location="'ADU-9'!A1" display="ADU-9"/>
    <hyperlink ref="A43" location="'ADU-11'!A1" display="ADU-11"/>
    <hyperlink ref="A44" location="'ADU-12'!A1" display="ADU-12"/>
    <hyperlink ref="A45" location="'ADU-13'!A1" display="ADU-13"/>
    <hyperlink ref="A46" location="'ADU-14'!A1" display="ADU-14"/>
    <hyperlink ref="A47" location="'ADU-15'!A1" display="ADU-15"/>
    <hyperlink ref="A48" location="'ADU-16'!A1" display="ADU-16"/>
    <hyperlink ref="A49" location="'ADU-17'!A1" display="ADU-17"/>
    <hyperlink ref="A50" location="'ADU-18'!A1" display="ADU-18"/>
    <hyperlink ref="A51" location="'ADU-19'!A1" display="ADU-19"/>
    <hyperlink ref="A52" location="'ADU-20'!A1" display="ADU-20"/>
    <hyperlink ref="A53" location="'ADU-21'!A1" display="ADU-21"/>
    <hyperlink ref="A54:A56" location="'ADU-21'!A1" display="'ADU-21'!A1"/>
    <hyperlink ref="A54" location="'ADU-22'!A1" display="ADU-22"/>
    <hyperlink ref="A55" location="'ADU-23'!A1" display="ADU-23"/>
    <hyperlink ref="A56" location="'ADU-24'!A1" display="ADU-24"/>
    <hyperlink ref="A67" location="'ADU-50'!A1" display="ADU-50"/>
    <hyperlink ref="A68" location="'ADU-51'!A1" display="ADU-51"/>
    <hyperlink ref="A69" location="'ADU-52'!A1" display="ADU-52"/>
    <hyperlink ref="A70" location="'ADU-53'!A1" display="ADU-53"/>
    <hyperlink ref="A71" location="'ADU-54'!A1" display="ADU-54"/>
    <hyperlink ref="A72" location="'ADU-55'!A1" display="ADU-55"/>
    <hyperlink ref="A73" location="'ADU-56'!A1" display="ADU-56"/>
    <hyperlink ref="A83" location="'ADU-70'!A1" display="ADU-70"/>
    <hyperlink ref="A84" location="'ADU-71'!A1" display="ADU-71"/>
    <hyperlink ref="A85" location="'ADU-72'!A1" display="ADU-72"/>
    <hyperlink ref="A86" location="'ADU-73'!A1" display="ADU-73"/>
    <hyperlink ref="A87" location="'ADU-74'!A1" display="ADU-74"/>
    <hyperlink ref="A88" location="'ADU-75'!A1" display="ADU-75"/>
    <hyperlink ref="A89" location="'ADU-76'!A1" display="ADU-76"/>
    <hyperlink ref="A91" location="'ADU-80'!A1" display="ADU-80"/>
    <hyperlink ref="A92" location="'ADU-81'!A1" display="ADU-81"/>
    <hyperlink ref="A93" location="'ADU-82'!A1" display="ADU-82"/>
    <hyperlink ref="A95" location="'ADU-90'!A1" display="ADU-90"/>
    <hyperlink ref="A96" location="'ADU-91'!A1" display="ADU-91"/>
    <hyperlink ref="A97" location="'ADU-92'!A1" display="ADU-92"/>
    <hyperlink ref="A101" location="'ADU-100'!A1" display="ADU-100"/>
    <hyperlink ref="A102" location="'ADU-101'!A1" display="ADU-101"/>
    <hyperlink ref="A103" location="'ADU-102'!A1" display="ADU-102"/>
    <hyperlink ref="A105" location="'ADU-121'!A1" display="ADU-121"/>
    <hyperlink ref="A106" location="'ADU-122'!A1" display="ADU-122"/>
    <hyperlink ref="A107" location="'ADU-123'!A1" display="ADU-123"/>
    <hyperlink ref="A108" location="'ADU-124'!A1" display="ADU-124"/>
    <hyperlink ref="A109" location="'ADU-140'!A1" display="ADU-140"/>
    <hyperlink ref="A110" location="'ADA-1'!A1" display="ADA-1"/>
    <hyperlink ref="A111" location="'ADA-2'!A1" display="ADA-2"/>
    <hyperlink ref="A112" location="'ADA-3'!A1" display="ADA-3"/>
    <hyperlink ref="A113" location="'ADA-4'!A1" display="ADA-4"/>
    <hyperlink ref="A114" location="'ADA-5'!A1" display="ADA-5"/>
    <hyperlink ref="A115" location="'ADA-6'!A1" display="ADA-6"/>
    <hyperlink ref="A116" location="'ADA-7'!A1" display="ADA-7"/>
    <hyperlink ref="A117" location="'ADA-8'!A1" display="ADA-8"/>
    <hyperlink ref="A118" location="'ADA-9'!A1" display="ADA-9"/>
    <hyperlink ref="A119" location="'ADA-10'!A1" display="ADA-10"/>
    <hyperlink ref="A120" location="'ADA-11'!A1" display="ADA-11"/>
    <hyperlink ref="A121" location="'ADA-12'!A1" display="ADA-12"/>
    <hyperlink ref="A122" location="'ADA-13'!A1" display="ADA-13"/>
    <hyperlink ref="A123" location="'ADA-20'!A1" display="ADA-20"/>
    <hyperlink ref="A124:A126" location="'ADA-14'!A1" display="ADA-14"/>
    <hyperlink ref="A124" location="'ADA-21'!A1" display="ADA-21"/>
    <hyperlink ref="A125" location="'ADA-22'!A1" display="ADA-22"/>
    <hyperlink ref="A126" location="'ADA-23'!A1" display="ADA-23"/>
    <hyperlink ref="A61" location="'ADU-30'!A1" display="ADU-30"/>
    <hyperlink ref="A62" location="'ADU-31'!A1" display="ADU-31"/>
    <hyperlink ref="A63" location="'ADU-32'!A1" display="ADU-32"/>
    <hyperlink ref="A64" location="'ADU-33'!A1" display="ADU-33"/>
    <hyperlink ref="A94" location="'ADU-83'!A1" display="ADU-83"/>
    <hyperlink ref="A90" location="'ADU-77'!A1" display="ADU-77"/>
    <hyperlink ref="A8" location="'ADO-7'!A1" display="ADO-7"/>
    <hyperlink ref="A9" location="'ADO-8'!A1" display="ADO-8"/>
    <hyperlink ref="A10" location="'ADO-9'!A1" display="ADO-9"/>
    <hyperlink ref="A22" location="'ADO-29'!A1" display="ADO-29"/>
    <hyperlink ref="A23" location="'ADO-30'!A1" display="ADO-30"/>
    <hyperlink ref="A24" location="'ADO-31'!A1" display="ADO-31"/>
    <hyperlink ref="A25" location="'ADO-32'!A1" display="ADO-32"/>
    <hyperlink ref="A26" location="'ADO-33'!A1" display="ADO-33"/>
    <hyperlink ref="A104" location="'ADU-103'!A1" display="ADU-103"/>
    <hyperlink ref="A57" location="'ADU-25'!A1" display="ADU-25"/>
    <hyperlink ref="A98" location="'ADU-93'!A1" display="ADU-93"/>
    <hyperlink ref="A99" location="'ADU-94'!A1" display="ADU-94"/>
    <hyperlink ref="A100" location="'ADU-95'!A1" display="ADU-95"/>
    <hyperlink ref="A76" location="'ADU-59'!A1" display="ADU-59"/>
    <hyperlink ref="A75" location="'ADU-58'!A1" display="ADU-58"/>
    <hyperlink ref="A74" location="'ADU-57'!A1" display="ADU-57"/>
    <hyperlink ref="A77" location="'ADU-60'!A1" display="ADU-60"/>
    <hyperlink ref="A11" location="'ADO-10'!A1" display="ADO-10"/>
    <hyperlink ref="A12" location="'ADO-11'!A1" display="ADO-11"/>
    <hyperlink ref="A27" location="'ADO-34'!A1" display="ADO-34"/>
    <hyperlink ref="A28" location="'ADO-35'!A1" display="ADO-35"/>
    <hyperlink ref="A78" location="'ADU-61'!A1" display="ADU-61"/>
    <hyperlink ref="A29" location="'ADO-36'!A1" display="ADO-36"/>
    <hyperlink ref="A30" location="'ADO-39'!A1" display="ADO-39"/>
    <hyperlink ref="A65" location="'ADU-34'!A1" display="ADU-34"/>
    <hyperlink ref="A66" location="'ADU-35'!A1" display="ADU-35"/>
    <hyperlink ref="A79" location="'ADU-62'!A1" display="ADU-62"/>
    <hyperlink ref="A80" location="'ADU-63'!A1" display="ADU-63"/>
    <hyperlink ref="A81" location="'ADU-64'!A1" display="ADU-64"/>
    <hyperlink ref="A82" location="'ADU-65'!A1" display="ADU-65"/>
    <hyperlink ref="A58" location="'ADU-26'!A1" display="ADU-26"/>
    <hyperlink ref="A59" location="'ADU-27'!A1" display="ADU-27"/>
    <hyperlink ref="A60" location="'ADU-28'!A1" display="ADU-28"/>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G69"/>
  <sheetViews>
    <sheetView topLeftCell="B13" zoomScaleNormal="100" workbookViewId="0">
      <selection activeCell="B8" sqref="B8:E8"/>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33" ht="26.25" x14ac:dyDescent="0.4">
      <c r="A1" s="1001" t="s">
        <v>937</v>
      </c>
      <c r="B1" s="1001"/>
      <c r="C1" s="1001"/>
      <c r="D1" s="1001"/>
      <c r="E1" s="1001"/>
      <c r="F1" s="276"/>
      <c r="G1" s="7"/>
      <c r="H1" s="7"/>
    </row>
    <row r="2" spans="1:33" ht="19.5" customHeight="1" x14ac:dyDescent="0.25">
      <c r="A2" s="415" t="s">
        <v>750</v>
      </c>
      <c r="B2" s="1068" t="s">
        <v>79</v>
      </c>
      <c r="C2" s="1068"/>
      <c r="D2" s="1068"/>
      <c r="E2" s="1068"/>
      <c r="F2" s="7"/>
      <c r="G2" s="986" t="s">
        <v>751</v>
      </c>
      <c r="H2" s="986"/>
    </row>
    <row r="3" spans="1:33" ht="19.5" customHeight="1" x14ac:dyDescent="0.25">
      <c r="A3" s="409" t="s">
        <v>743</v>
      </c>
      <c r="B3" s="987" t="s">
        <v>457</v>
      </c>
      <c r="C3" s="987"/>
      <c r="D3" s="987"/>
      <c r="E3" s="987"/>
      <c r="F3" s="7"/>
      <c r="G3" s="986" t="s">
        <v>752</v>
      </c>
      <c r="H3" s="986"/>
    </row>
    <row r="4" spans="1:33" ht="19.5" customHeight="1" x14ac:dyDescent="0.25">
      <c r="A4" s="403" t="s">
        <v>292</v>
      </c>
      <c r="B4" s="996" t="s">
        <v>31</v>
      </c>
      <c r="C4" s="996"/>
      <c r="D4" s="996"/>
      <c r="E4" s="996"/>
      <c r="F4" s="7"/>
      <c r="G4" s="986" t="s">
        <v>753</v>
      </c>
      <c r="H4" s="986"/>
    </row>
    <row r="5" spans="1:33" ht="19.5" customHeight="1" x14ac:dyDescent="0.25">
      <c r="A5" s="403" t="s">
        <v>16</v>
      </c>
      <c r="B5" s="1015" t="s">
        <v>17</v>
      </c>
      <c r="C5" s="1015"/>
      <c r="D5" s="1015"/>
      <c r="E5" s="1015"/>
      <c r="F5" s="7"/>
      <c r="G5" s="986" t="s">
        <v>754</v>
      </c>
      <c r="H5" s="986"/>
      <c r="K5" s="9"/>
      <c r="L5" s="9"/>
      <c r="M5" s="9"/>
      <c r="N5" s="9"/>
      <c r="Z5" s="1023" t="s">
        <v>609</v>
      </c>
      <c r="AA5" s="1024"/>
      <c r="AB5" s="1025"/>
    </row>
    <row r="6" spans="1:33" ht="19.5" customHeight="1" x14ac:dyDescent="0.25">
      <c r="A6" s="413" t="s">
        <v>474</v>
      </c>
      <c r="B6" s="993" t="s">
        <v>424</v>
      </c>
      <c r="C6" s="993"/>
      <c r="D6" s="993"/>
      <c r="E6" s="993"/>
      <c r="F6" s="7"/>
      <c r="G6" s="986" t="s">
        <v>755</v>
      </c>
      <c r="H6" s="986"/>
      <c r="K6" s="9"/>
      <c r="L6" s="9"/>
      <c r="M6" s="9"/>
      <c r="N6" s="9"/>
      <c r="Z6" s="1026"/>
      <c r="AA6" s="1027"/>
      <c r="AB6" s="357" t="s">
        <v>610</v>
      </c>
    </row>
    <row r="7" spans="1:33" ht="19.5" customHeight="1" x14ac:dyDescent="0.25">
      <c r="A7" s="253" t="s">
        <v>475</v>
      </c>
      <c r="B7" s="994" t="s">
        <v>426</v>
      </c>
      <c r="C7" s="994"/>
      <c r="D7" s="994"/>
      <c r="E7" s="994"/>
      <c r="F7" s="7"/>
      <c r="G7" s="995" t="s">
        <v>756</v>
      </c>
      <c r="H7" s="995"/>
      <c r="I7" s="400"/>
      <c r="J7" s="400"/>
      <c r="K7" s="9"/>
      <c r="L7" s="9"/>
      <c r="M7" s="9"/>
      <c r="N7" s="9"/>
      <c r="Z7" s="401"/>
      <c r="AA7" s="402"/>
      <c r="AB7" s="357"/>
    </row>
    <row r="8" spans="1:33" ht="24" customHeight="1" x14ac:dyDescent="0.25">
      <c r="A8" s="193" t="s">
        <v>1</v>
      </c>
      <c r="B8" s="967" t="s">
        <v>1295</v>
      </c>
      <c r="C8" s="967"/>
      <c r="D8" s="967"/>
      <c r="E8" s="967"/>
      <c r="F8" s="9"/>
      <c r="G8" s="997" t="s">
        <v>936</v>
      </c>
      <c r="H8" s="67"/>
      <c r="I8" s="9"/>
      <c r="J8" s="9"/>
      <c r="K8" s="9"/>
      <c r="L8" s="9"/>
      <c r="N8" s="9"/>
      <c r="O8" s="9"/>
      <c r="Z8" s="1028" t="s">
        <v>611</v>
      </c>
      <c r="AA8" s="1029"/>
      <c r="AB8" s="357">
        <v>0.26819999999999999</v>
      </c>
    </row>
    <row r="9" spans="1:33" ht="24" customHeight="1" x14ac:dyDescent="0.25">
      <c r="A9" s="193" t="s">
        <v>0</v>
      </c>
      <c r="B9" s="996" t="s">
        <v>1088</v>
      </c>
      <c r="C9" s="996"/>
      <c r="D9" s="996"/>
      <c r="E9" s="996"/>
      <c r="F9" s="9"/>
      <c r="G9" s="997"/>
      <c r="H9" s="67"/>
      <c r="I9" s="9"/>
      <c r="J9" s="9"/>
      <c r="K9" s="9"/>
      <c r="L9" s="9"/>
      <c r="N9" s="9"/>
      <c r="O9" s="9"/>
      <c r="Z9" s="1028" t="s">
        <v>612</v>
      </c>
      <c r="AA9" s="1029"/>
      <c r="AB9" s="357">
        <v>3.1300000000000001E-2</v>
      </c>
    </row>
    <row r="10" spans="1:33" ht="30" x14ac:dyDescent="0.25">
      <c r="A10" s="102" t="s">
        <v>2</v>
      </c>
      <c r="B10" s="1008" t="s">
        <v>958</v>
      </c>
      <c r="C10" s="1008"/>
      <c r="D10" s="1008"/>
      <c r="E10" s="1008"/>
      <c r="F10" s="9"/>
      <c r="G10" s="997"/>
      <c r="H10" s="67"/>
      <c r="I10" s="9"/>
      <c r="J10" s="9"/>
      <c r="K10" s="9"/>
      <c r="L10" s="9"/>
      <c r="M10" s="7"/>
      <c r="N10" s="255" t="s">
        <v>149</v>
      </c>
      <c r="O10" s="255" t="s">
        <v>152</v>
      </c>
      <c r="P10" s="260" t="s">
        <v>150</v>
      </c>
      <c r="Q10" s="260" t="s">
        <v>534</v>
      </c>
      <c r="S10" s="261">
        <f>H14</f>
        <v>46882.329252344512</v>
      </c>
      <c r="T10" s="89">
        <f>P11</f>
        <v>0.26819999999999999</v>
      </c>
      <c r="U10" s="89"/>
      <c r="V10" s="1022"/>
      <c r="Z10" s="1028"/>
      <c r="AA10" s="1029"/>
      <c r="AB10" s="357"/>
      <c r="AC10" s="60" t="s">
        <v>147</v>
      </c>
      <c r="AD10" s="60" t="s">
        <v>148</v>
      </c>
      <c r="AE10" s="59" t="s">
        <v>149</v>
      </c>
      <c r="AF10" s="59" t="s">
        <v>152</v>
      </c>
    </row>
    <row r="11" spans="1:33" ht="15.75" customHeight="1" x14ac:dyDescent="0.25">
      <c r="A11" s="102" t="s">
        <v>29</v>
      </c>
      <c r="B11" s="1008"/>
      <c r="C11" s="1008"/>
      <c r="D11" s="1008"/>
      <c r="E11" s="1008"/>
      <c r="F11" s="9"/>
      <c r="G11" s="254">
        <v>500</v>
      </c>
      <c r="H11" s="131" t="s">
        <v>539</v>
      </c>
      <c r="I11" s="9"/>
      <c r="J11" s="9"/>
      <c r="K11" s="9"/>
      <c r="L11" s="9"/>
      <c r="N11" s="252">
        <v>0.7</v>
      </c>
      <c r="O11" s="252">
        <v>0.28000000000000003</v>
      </c>
      <c r="P11" s="251">
        <f>AB8</f>
        <v>0.26819999999999999</v>
      </c>
      <c r="Q11" s="260">
        <f>AB9</f>
        <v>3.1300000000000001E-2</v>
      </c>
      <c r="S11" s="261">
        <f>I14</f>
        <v>4047.431355855701</v>
      </c>
      <c r="T11" s="89">
        <f>Q11</f>
        <v>3.1300000000000001E-2</v>
      </c>
      <c r="U11" s="89"/>
      <c r="V11" s="1022"/>
      <c r="Z11" s="1028" t="s">
        <v>613</v>
      </c>
      <c r="AA11" s="1029"/>
      <c r="AB11" s="357">
        <v>0.26819999999999999</v>
      </c>
      <c r="AC11" s="192">
        <v>50</v>
      </c>
      <c r="AD11" s="192">
        <v>110</v>
      </c>
      <c r="AE11" s="189">
        <v>0.86</v>
      </c>
      <c r="AF11" s="189">
        <v>0.28000000000000003</v>
      </c>
    </row>
    <row r="12" spans="1:33" ht="30" customHeight="1" x14ac:dyDescent="0.25">
      <c r="A12" s="102" t="s">
        <v>14</v>
      </c>
      <c r="B12" s="1010" t="s">
        <v>607</v>
      </c>
      <c r="C12" s="1010"/>
      <c r="D12" s="1010"/>
      <c r="E12" s="1010"/>
      <c r="G12" s="9"/>
      <c r="H12" s="67"/>
      <c r="I12" s="9"/>
      <c r="J12" s="9"/>
      <c r="K12" s="9"/>
      <c r="L12" s="9"/>
      <c r="M12" s="9"/>
      <c r="N12" s="255" t="s">
        <v>147</v>
      </c>
      <c r="O12" s="255" t="s">
        <v>148</v>
      </c>
      <c r="P12" s="260" t="s">
        <v>130</v>
      </c>
      <c r="Q12" s="251" t="s">
        <v>536</v>
      </c>
      <c r="S12" s="263">
        <f>S10+S11</f>
        <v>50929.760608200217</v>
      </c>
      <c r="T12" s="90">
        <f>U12/S12</f>
        <v>0.24937335568139635</v>
      </c>
      <c r="U12" s="89">
        <f>(S10*T10)+(S11*T11)</f>
        <v>12700.525306917081</v>
      </c>
      <c r="V12" s="1022"/>
      <c r="Z12" s="1028" t="s">
        <v>614</v>
      </c>
      <c r="AA12" s="1029"/>
      <c r="AB12" s="357">
        <v>1.18E-2</v>
      </c>
      <c r="AC12" s="9"/>
      <c r="AD12" s="9"/>
      <c r="AE12" s="9"/>
      <c r="AF12" s="9"/>
      <c r="AG12" s="9"/>
    </row>
    <row r="13" spans="1:33" ht="30" customHeight="1" x14ac:dyDescent="0.25">
      <c r="A13" s="102" t="s">
        <v>3</v>
      </c>
      <c r="B13" s="1010"/>
      <c r="C13" s="1010"/>
      <c r="D13" s="1010"/>
      <c r="E13" s="1010"/>
      <c r="G13" s="255" t="s">
        <v>151</v>
      </c>
      <c r="H13" s="260" t="s">
        <v>255</v>
      </c>
      <c r="I13" s="260" t="s">
        <v>256</v>
      </c>
      <c r="J13" s="257" t="s">
        <v>535</v>
      </c>
      <c r="K13" s="260" t="s">
        <v>254</v>
      </c>
      <c r="L13" s="1078"/>
      <c r="M13" s="9"/>
      <c r="N13" s="252">
        <v>50</v>
      </c>
      <c r="O13" s="252">
        <v>110</v>
      </c>
      <c r="P13" s="258">
        <f>T12</f>
        <v>0.24937335568139635</v>
      </c>
      <c r="Q13" s="251">
        <v>0.08</v>
      </c>
      <c r="Z13" s="1028" t="s">
        <v>615</v>
      </c>
      <c r="AA13" s="1029"/>
      <c r="AB13" s="358">
        <f>AB15/0.55</f>
        <v>0.50363636363636366</v>
      </c>
      <c r="AC13" s="9"/>
      <c r="AD13" s="9"/>
      <c r="AE13" s="9"/>
      <c r="AF13" s="9"/>
      <c r="AG13" s="9"/>
    </row>
    <row r="14" spans="1:33" ht="30" customHeight="1" x14ac:dyDescent="0.25">
      <c r="A14" s="102" t="s">
        <v>15</v>
      </c>
      <c r="B14" s="1010"/>
      <c r="C14" s="1010"/>
      <c r="D14" s="1010"/>
      <c r="E14" s="1010"/>
      <c r="G14" s="433">
        <v>3398</v>
      </c>
      <c r="H14" s="256">
        <f>'Objectifs CO2'!Z32</f>
        <v>46882.329252344512</v>
      </c>
      <c r="I14" s="256">
        <f>'Objectifs CO2'!AA32</f>
        <v>4047.431355855701</v>
      </c>
      <c r="J14" s="259">
        <f>(H14+I14)/G14*1000</f>
        <v>14988.157918834671</v>
      </c>
      <c r="K14" s="259">
        <f>J14*$O$11</f>
        <v>4196.6842172737088</v>
      </c>
      <c r="L14" s="1078"/>
      <c r="M14" s="9"/>
      <c r="N14" s="9"/>
      <c r="Z14" s="1028" t="s">
        <v>616</v>
      </c>
      <c r="AA14" s="1029"/>
      <c r="AB14" s="357">
        <v>0.26819999999999999</v>
      </c>
      <c r="AC14" s="9"/>
      <c r="AD14" s="9"/>
      <c r="AE14" s="9"/>
      <c r="AF14" s="9"/>
      <c r="AG14" s="9"/>
    </row>
    <row r="15" spans="1:33" ht="30" customHeight="1" x14ac:dyDescent="0.25">
      <c r="A15" s="102" t="s">
        <v>4</v>
      </c>
      <c r="B15" s="1010">
        <v>2015</v>
      </c>
      <c r="C15" s="1010"/>
      <c r="D15" s="1010"/>
      <c r="E15" s="1010"/>
      <c r="N15" s="9"/>
      <c r="Z15" s="1028" t="s">
        <v>578</v>
      </c>
      <c r="AA15" s="1029"/>
      <c r="AB15" s="357">
        <v>0.27700000000000002</v>
      </c>
      <c r="AC15" s="60" t="s">
        <v>150</v>
      </c>
      <c r="AD15" s="60" t="s">
        <v>130</v>
      </c>
      <c r="AE15" s="60" t="s">
        <v>151</v>
      </c>
      <c r="AF15" s="60" t="s">
        <v>255</v>
      </c>
      <c r="AG15" s="60" t="s">
        <v>256</v>
      </c>
    </row>
    <row r="16" spans="1:33" ht="30" customHeight="1" x14ac:dyDescent="0.25">
      <c r="A16" s="102" t="s">
        <v>5</v>
      </c>
      <c r="B16" s="1010">
        <v>2030</v>
      </c>
      <c r="C16" s="1010"/>
      <c r="D16" s="1010"/>
      <c r="E16" s="1010"/>
      <c r="N16" s="9"/>
      <c r="Z16" s="1028" t="s">
        <v>579</v>
      </c>
      <c r="AA16" s="1029"/>
      <c r="AB16" s="357">
        <v>0.20269999999999999</v>
      </c>
      <c r="AC16" s="192">
        <v>0.26100000000000001</v>
      </c>
      <c r="AD16" s="88">
        <f>AD22</f>
        <v>0.24629789278623188</v>
      </c>
      <c r="AE16" s="192">
        <v>2665</v>
      </c>
      <c r="AF16" s="208">
        <f>'Objectifs CO2'!Z32</f>
        <v>46882.329252344512</v>
      </c>
      <c r="AG16" s="209">
        <f>'Objectifs CO2'!AA32</f>
        <v>4047.431355855701</v>
      </c>
    </row>
    <row r="17" spans="1:33" ht="30" customHeight="1" x14ac:dyDescent="0.25">
      <c r="A17" s="102" t="s">
        <v>6</v>
      </c>
      <c r="B17" s="1012">
        <f>SUM(G11:L11)*N13*O13</f>
        <v>2750000</v>
      </c>
      <c r="C17" s="1012"/>
      <c r="D17" s="1012"/>
      <c r="E17" s="1012"/>
      <c r="G17" s="9"/>
      <c r="H17" s="9"/>
      <c r="I17" s="9"/>
      <c r="J17" s="9"/>
      <c r="K17" s="9"/>
      <c r="L17" s="9"/>
      <c r="M17" s="9"/>
      <c r="N17" s="9"/>
      <c r="AA17" s="66" t="s">
        <v>155</v>
      </c>
      <c r="AB17" s="66">
        <v>0</v>
      </c>
      <c r="AE17" s="9"/>
      <c r="AF17" s="9"/>
      <c r="AG17" s="9"/>
    </row>
    <row r="18" spans="1:33" ht="30" customHeight="1" x14ac:dyDescent="0.25">
      <c r="A18" s="102" t="s">
        <v>7</v>
      </c>
      <c r="B18" s="1012">
        <f>B17*Q13</f>
        <v>220000</v>
      </c>
      <c r="C18" s="1012"/>
      <c r="D18" s="1012"/>
      <c r="E18" s="1012"/>
      <c r="G18" s="9"/>
      <c r="H18" s="9"/>
      <c r="I18" s="9"/>
      <c r="J18" s="9"/>
      <c r="K18" s="9"/>
      <c r="L18" s="9"/>
      <c r="M18" s="9"/>
      <c r="AA18" s="66" t="s">
        <v>252</v>
      </c>
      <c r="AB18" s="66">
        <v>0</v>
      </c>
      <c r="AE18" s="9"/>
      <c r="AF18" s="9"/>
      <c r="AG18" s="9"/>
    </row>
    <row r="19" spans="1:33" ht="30" customHeight="1" x14ac:dyDescent="0.25">
      <c r="A19" s="99" t="s">
        <v>307</v>
      </c>
      <c r="B19" s="1039">
        <f>G11*K14</f>
        <v>2098342.1086368542</v>
      </c>
      <c r="C19" s="1040"/>
      <c r="D19" s="1040"/>
      <c r="E19" s="1040"/>
      <c r="G19" s="9"/>
      <c r="H19" s="9"/>
      <c r="I19" s="9"/>
      <c r="J19" s="9"/>
      <c r="K19" s="9"/>
      <c r="L19" s="9"/>
      <c r="M19" s="9"/>
      <c r="AA19" s="9"/>
      <c r="AB19" s="10"/>
      <c r="AC19" s="9"/>
      <c r="AD19" s="9"/>
      <c r="AE19" s="9"/>
      <c r="AF19" s="9"/>
      <c r="AG19" s="9"/>
    </row>
    <row r="20" spans="1:33" ht="30" customHeight="1" x14ac:dyDescent="0.25">
      <c r="A20" s="96" t="s">
        <v>306</v>
      </c>
      <c r="B20" s="1041"/>
      <c r="C20" s="1042"/>
      <c r="D20" s="1042"/>
      <c r="E20" s="1042"/>
      <c r="G20" s="9"/>
      <c r="H20" s="9"/>
      <c r="I20" s="9"/>
      <c r="J20" s="9"/>
      <c r="K20" s="9"/>
      <c r="L20" s="9"/>
      <c r="M20" s="9"/>
      <c r="AA20" s="9"/>
      <c r="AB20" s="10"/>
      <c r="AC20" s="89">
        <f>AF16</f>
        <v>46882.329252344512</v>
      </c>
      <c r="AD20" s="89">
        <v>0.26100000000000001</v>
      </c>
      <c r="AE20" s="89"/>
      <c r="AF20" s="9"/>
      <c r="AG20" s="9"/>
    </row>
    <row r="21" spans="1:33" ht="30" customHeight="1" x14ac:dyDescent="0.25">
      <c r="A21" s="102" t="s">
        <v>8</v>
      </c>
      <c r="B21" s="1000">
        <f>(B19*AE11/10)</f>
        <v>180457.42134276946</v>
      </c>
      <c r="C21" s="1000"/>
      <c r="D21" s="1000"/>
      <c r="E21" s="1000"/>
      <c r="G21" s="9"/>
      <c r="H21" s="9"/>
      <c r="I21" s="9"/>
      <c r="J21" s="9"/>
      <c r="K21" s="9"/>
      <c r="L21" s="9"/>
      <c r="M21" s="9"/>
      <c r="N21" s="9"/>
      <c r="AA21" s="9"/>
      <c r="AB21" s="9"/>
      <c r="AC21" s="89">
        <f>AG16</f>
        <v>4047.431355855701</v>
      </c>
      <c r="AD21" s="89">
        <v>7.5999999999999998E-2</v>
      </c>
      <c r="AE21" s="89"/>
      <c r="AF21" s="9"/>
      <c r="AG21" s="9"/>
    </row>
    <row r="22" spans="1:33" ht="30" customHeight="1" x14ac:dyDescent="0.25">
      <c r="A22" s="102" t="s">
        <v>9</v>
      </c>
      <c r="B22" s="1000"/>
      <c r="C22" s="1000"/>
      <c r="D22" s="1000"/>
      <c r="E22" s="1000"/>
      <c r="G22" s="9"/>
      <c r="H22" s="9"/>
      <c r="I22" s="9"/>
      <c r="J22" s="9"/>
      <c r="K22" s="9"/>
      <c r="L22" s="9"/>
      <c r="M22" s="9"/>
      <c r="N22" s="9"/>
      <c r="AA22" s="9"/>
      <c r="AB22" s="9"/>
      <c r="AC22" s="89">
        <f>AC20+AC21</f>
        <v>50929.760608200217</v>
      </c>
      <c r="AD22" s="90">
        <f>AE22/AC22</f>
        <v>0.24629789278623188</v>
      </c>
      <c r="AE22" s="89">
        <f>(AC20*AD20)+(AC21*AD21)</f>
        <v>12543.892717906952</v>
      </c>
      <c r="AF22" s="9"/>
      <c r="AG22" s="9"/>
    </row>
    <row r="23" spans="1:33" ht="30" customHeight="1" x14ac:dyDescent="0.25">
      <c r="A23" s="102" t="s">
        <v>301</v>
      </c>
      <c r="B23" s="1016">
        <f>B17/(B21+B22)</f>
        <v>15.239051846898102</v>
      </c>
      <c r="C23" s="1016"/>
      <c r="D23" s="1016"/>
      <c r="E23" s="1016"/>
      <c r="G23" s="9"/>
      <c r="H23" s="9"/>
      <c r="I23" s="9"/>
      <c r="J23" s="9"/>
      <c r="K23" s="9"/>
      <c r="L23" s="9"/>
      <c r="M23" s="9"/>
      <c r="N23" s="9"/>
    </row>
    <row r="24" spans="1:33" ht="30" customHeight="1" x14ac:dyDescent="0.25">
      <c r="A24" s="102" t="s">
        <v>302</v>
      </c>
      <c r="B24" s="1017">
        <f>(B17-B18)/(B21+B22)</f>
        <v>14.019927699146255</v>
      </c>
      <c r="C24" s="1017"/>
      <c r="D24" s="1017"/>
      <c r="E24" s="1017"/>
      <c r="G24" s="9"/>
      <c r="H24" s="9"/>
      <c r="I24" s="9"/>
      <c r="J24" s="9"/>
      <c r="K24" s="9"/>
      <c r="L24" s="9"/>
      <c r="M24" s="9"/>
      <c r="N24" s="9"/>
    </row>
    <row r="25" spans="1:33" ht="30" customHeight="1" x14ac:dyDescent="0.25">
      <c r="A25" s="103" t="s">
        <v>305</v>
      </c>
      <c r="B25" s="1036">
        <f>B19*P13/1000</f>
        <v>523.27061299834952</v>
      </c>
      <c r="C25" s="1036"/>
      <c r="D25" s="1036"/>
      <c r="E25" s="1036"/>
      <c r="G25" s="9"/>
      <c r="H25" s="9"/>
      <c r="I25" s="9"/>
      <c r="J25" s="9"/>
      <c r="K25" s="9"/>
      <c r="L25" s="9"/>
      <c r="M25" s="9"/>
      <c r="N25" s="9"/>
    </row>
    <row r="26" spans="1:33" ht="30" customHeight="1" x14ac:dyDescent="0.25">
      <c r="A26" s="104" t="s">
        <v>303</v>
      </c>
      <c r="B26" s="1058">
        <f>B25/'Objectifs CO2'!C8</f>
        <v>4.8268370728099502E-2</v>
      </c>
      <c r="C26" s="1058"/>
      <c r="D26" s="1058"/>
      <c r="E26" s="1058"/>
      <c r="G26" s="9"/>
      <c r="H26" s="9"/>
      <c r="I26" s="9"/>
      <c r="J26" s="9"/>
      <c r="K26" s="9"/>
      <c r="L26" s="9"/>
      <c r="M26" s="9"/>
      <c r="N26" s="9"/>
    </row>
    <row r="27" spans="1:33" ht="30" customHeight="1" x14ac:dyDescent="0.25">
      <c r="A27" s="104" t="s">
        <v>304</v>
      </c>
      <c r="B27" s="1056">
        <f>B25/'Objectifs CO2'!C4</f>
        <v>2.4134185364049751E-2</v>
      </c>
      <c r="C27" s="1057"/>
      <c r="D27" s="1057"/>
      <c r="E27" s="1057"/>
      <c r="G27" s="9"/>
      <c r="H27" s="9"/>
      <c r="I27" s="9"/>
      <c r="J27" s="9"/>
      <c r="K27" s="9"/>
      <c r="L27" s="9"/>
      <c r="M27" s="9"/>
      <c r="N27" s="9"/>
    </row>
    <row r="28" spans="1:33" ht="30" customHeight="1" x14ac:dyDescent="0.25">
      <c r="A28" s="104" t="s">
        <v>22</v>
      </c>
      <c r="B28" s="999"/>
      <c r="C28" s="999"/>
      <c r="D28" s="999"/>
      <c r="E28" s="999"/>
      <c r="G28" s="9"/>
      <c r="H28" s="9"/>
      <c r="I28" s="9"/>
      <c r="J28" s="9"/>
      <c r="K28" s="9"/>
      <c r="L28" s="9"/>
      <c r="M28" s="9"/>
      <c r="N28" s="9"/>
    </row>
    <row r="29" spans="1:33" ht="30" customHeight="1" x14ac:dyDescent="0.25">
      <c r="A29" s="101" t="s">
        <v>257</v>
      </c>
      <c r="B29" s="999" t="s">
        <v>265</v>
      </c>
      <c r="C29" s="999"/>
      <c r="D29" s="999"/>
      <c r="E29" s="999"/>
      <c r="F29" s="6" t="s">
        <v>264</v>
      </c>
    </row>
    <row r="31" spans="1:33" x14ac:dyDescent="0.25">
      <c r="A31" s="603" t="s">
        <v>1065</v>
      </c>
      <c r="B31" s="1003" t="s">
        <v>675</v>
      </c>
      <c r="C31" s="1003"/>
      <c r="D31" s="1003"/>
      <c r="E31" s="56" t="s">
        <v>676</v>
      </c>
    </row>
    <row r="32" spans="1:33"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7">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6:E26"/>
    <mergeCell ref="B27:E27"/>
    <mergeCell ref="B28:E28"/>
    <mergeCell ref="V10:V12"/>
    <mergeCell ref="L13:L14"/>
    <mergeCell ref="G8:G10"/>
    <mergeCell ref="B19:E19"/>
    <mergeCell ref="B20:E20"/>
    <mergeCell ref="B18:E18"/>
    <mergeCell ref="B8:E8"/>
    <mergeCell ref="B9:E9"/>
    <mergeCell ref="B16:E16"/>
    <mergeCell ref="B11:E11"/>
    <mergeCell ref="B12:E12"/>
    <mergeCell ref="B13:E13"/>
    <mergeCell ref="B14:E14"/>
    <mergeCell ref="B15:E15"/>
    <mergeCell ref="B10:E10"/>
    <mergeCell ref="B17:E17"/>
    <mergeCell ref="H33:I33"/>
    <mergeCell ref="G40:I40"/>
    <mergeCell ref="B34:D34"/>
    <mergeCell ref="H34:I34"/>
    <mergeCell ref="B35:D35"/>
    <mergeCell ref="H35:I35"/>
    <mergeCell ref="B36:D36"/>
    <mergeCell ref="Z5:AB5"/>
    <mergeCell ref="Z6:AA6"/>
    <mergeCell ref="Z8:AA8"/>
    <mergeCell ref="Z9:AA9"/>
    <mergeCell ref="Z10:AA10"/>
    <mergeCell ref="Z16:AA16"/>
    <mergeCell ref="Z11:AA11"/>
    <mergeCell ref="Z12:AA12"/>
    <mergeCell ref="Z13:AA13"/>
    <mergeCell ref="Z14:AA14"/>
    <mergeCell ref="Z15:AA15"/>
    <mergeCell ref="B21:E21"/>
    <mergeCell ref="B22:E22"/>
    <mergeCell ref="B23:E23"/>
    <mergeCell ref="B29:E29"/>
    <mergeCell ref="B24:E24"/>
    <mergeCell ref="B25:E25"/>
    <mergeCell ref="B42:D42"/>
    <mergeCell ref="B44:D44"/>
    <mergeCell ref="B37:D37"/>
    <mergeCell ref="B38:D38"/>
    <mergeCell ref="B39:D39"/>
    <mergeCell ref="B40:D40"/>
    <mergeCell ref="B41:D41"/>
    <mergeCell ref="G7:H7"/>
    <mergeCell ref="A1:E1"/>
    <mergeCell ref="B2:E2"/>
    <mergeCell ref="G2:H2"/>
    <mergeCell ref="B3:E3"/>
    <mergeCell ref="G3:H3"/>
    <mergeCell ref="B4:E4"/>
    <mergeCell ref="B5:E5"/>
    <mergeCell ref="B6:E6"/>
    <mergeCell ref="B7:E7"/>
    <mergeCell ref="G6:H6"/>
    <mergeCell ref="G4:H4"/>
    <mergeCell ref="G5:H5"/>
    <mergeCell ref="B31:D31"/>
    <mergeCell ref="B32:D32"/>
    <mergeCell ref="G32:I32"/>
    <mergeCell ref="B33:D33"/>
  </mergeCells>
  <conditionalFormatting sqref="B5">
    <cfRule type="containsText" dxfId="260" priority="1" operator="containsText" text="Terminé">
      <formula>NOT(ISERROR(SEARCH("Terminé",B5)))</formula>
    </cfRule>
    <cfRule type="containsText" dxfId="259" priority="2" operator="containsText" text="En cours">
      <formula>NOT(ISERROR(SEARCH("En cours",B5)))</formula>
    </cfRule>
    <cfRule type="containsText" dxfId="25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5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69"/>
  <sheetViews>
    <sheetView topLeftCell="B13" zoomScaleNormal="100" workbookViewId="0">
      <selection activeCell="B8" sqref="B8:E8"/>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34" ht="26.25" x14ac:dyDescent="0.4">
      <c r="A1" s="1001" t="s">
        <v>937</v>
      </c>
      <c r="B1" s="1001"/>
      <c r="C1" s="1001"/>
      <c r="D1" s="1001"/>
      <c r="E1" s="1001"/>
      <c r="F1" s="276"/>
      <c r="G1" s="7"/>
      <c r="H1" s="7"/>
    </row>
    <row r="2" spans="1:34" ht="19.5" customHeight="1" x14ac:dyDescent="0.25">
      <c r="A2" s="415" t="s">
        <v>750</v>
      </c>
      <c r="B2" s="1068" t="s">
        <v>80</v>
      </c>
      <c r="C2" s="1068"/>
      <c r="D2" s="1068"/>
      <c r="E2" s="1068"/>
      <c r="F2" s="7"/>
      <c r="G2" s="986" t="s">
        <v>751</v>
      </c>
      <c r="H2" s="986"/>
    </row>
    <row r="3" spans="1:34" ht="19.5" customHeight="1" x14ac:dyDescent="0.25">
      <c r="A3" s="409" t="s">
        <v>743</v>
      </c>
      <c r="B3" s="987" t="s">
        <v>457</v>
      </c>
      <c r="C3" s="987"/>
      <c r="D3" s="987"/>
      <c r="E3" s="987"/>
      <c r="F3" s="7"/>
      <c r="G3" s="986" t="s">
        <v>752</v>
      </c>
      <c r="H3" s="986"/>
    </row>
    <row r="4" spans="1:34" ht="19.5" customHeight="1" x14ac:dyDescent="0.25">
      <c r="A4" s="403" t="s">
        <v>292</v>
      </c>
      <c r="B4" s="996" t="s">
        <v>31</v>
      </c>
      <c r="C4" s="996"/>
      <c r="D4" s="996"/>
      <c r="E4" s="996"/>
      <c r="F4" s="7"/>
      <c r="G4" s="986" t="s">
        <v>753</v>
      </c>
      <c r="H4" s="986"/>
    </row>
    <row r="5" spans="1:34" ht="19.5" customHeight="1" x14ac:dyDescent="0.25">
      <c r="A5" s="403" t="s">
        <v>16</v>
      </c>
      <c r="B5" s="1015" t="s">
        <v>17</v>
      </c>
      <c r="C5" s="1015"/>
      <c r="D5" s="1015"/>
      <c r="E5" s="1015"/>
      <c r="F5" s="7"/>
      <c r="G5" s="986" t="s">
        <v>754</v>
      </c>
      <c r="H5" s="986"/>
      <c r="K5" s="9"/>
      <c r="L5" s="9"/>
      <c r="M5" s="9"/>
      <c r="N5" s="9"/>
      <c r="Z5" s="1023" t="s">
        <v>609</v>
      </c>
      <c r="AA5" s="1024"/>
      <c r="AB5" s="1025"/>
    </row>
    <row r="6" spans="1:34" ht="19.5" customHeight="1" x14ac:dyDescent="0.25">
      <c r="A6" s="413" t="s">
        <v>474</v>
      </c>
      <c r="B6" s="993" t="s">
        <v>424</v>
      </c>
      <c r="C6" s="993"/>
      <c r="D6" s="993"/>
      <c r="E6" s="993"/>
      <c r="F6" s="7"/>
      <c r="G6" s="986" t="s">
        <v>755</v>
      </c>
      <c r="H6" s="986"/>
      <c r="K6" s="9"/>
      <c r="L6" s="9"/>
      <c r="M6" s="9"/>
      <c r="N6" s="9"/>
      <c r="Z6" s="1026"/>
      <c r="AA6" s="1027"/>
      <c r="AB6" s="357" t="s">
        <v>610</v>
      </c>
    </row>
    <row r="7" spans="1:34" ht="19.5" customHeight="1" x14ac:dyDescent="0.25">
      <c r="A7" s="253" t="s">
        <v>475</v>
      </c>
      <c r="B7" s="994" t="s">
        <v>426</v>
      </c>
      <c r="C7" s="994"/>
      <c r="D7" s="994"/>
      <c r="E7" s="994"/>
      <c r="F7" s="7"/>
      <c r="G7" s="995" t="s">
        <v>756</v>
      </c>
      <c r="H7" s="995"/>
      <c r="I7" s="400"/>
      <c r="J7" s="400"/>
      <c r="K7" s="9"/>
      <c r="L7" s="9"/>
      <c r="M7" s="9"/>
      <c r="N7" s="9"/>
      <c r="Z7" s="401"/>
      <c r="AA7" s="402"/>
      <c r="AB7" s="357"/>
    </row>
    <row r="8" spans="1:34" ht="24" customHeight="1" x14ac:dyDescent="0.25">
      <c r="A8" s="193" t="s">
        <v>1</v>
      </c>
      <c r="B8" s="967" t="s">
        <v>1295</v>
      </c>
      <c r="C8" s="967"/>
      <c r="D8" s="967"/>
      <c r="E8" s="967"/>
      <c r="G8" s="997" t="s">
        <v>936</v>
      </c>
      <c r="H8" s="67"/>
      <c r="I8" s="9"/>
      <c r="J8" s="9"/>
      <c r="K8" s="9"/>
      <c r="L8" s="9"/>
      <c r="N8" s="9"/>
      <c r="O8" s="9"/>
      <c r="Z8" s="1028" t="s">
        <v>611</v>
      </c>
      <c r="AA8" s="1029"/>
      <c r="AB8" s="357">
        <v>0.26819999999999999</v>
      </c>
    </row>
    <row r="9" spans="1:34" ht="24" customHeight="1" x14ac:dyDescent="0.25">
      <c r="A9" s="193" t="s">
        <v>0</v>
      </c>
      <c r="B9" s="996" t="s">
        <v>1089</v>
      </c>
      <c r="C9" s="996"/>
      <c r="D9" s="996"/>
      <c r="E9" s="996"/>
      <c r="G9" s="997"/>
      <c r="H9" s="67"/>
      <c r="I9" s="9"/>
      <c r="J9" s="9"/>
      <c r="K9" s="9"/>
      <c r="L9" s="9"/>
      <c r="N9" s="9"/>
      <c r="O9" s="9"/>
      <c r="Z9" s="1028" t="s">
        <v>612</v>
      </c>
      <c r="AA9" s="1029"/>
      <c r="AB9" s="357">
        <v>3.1300000000000001E-2</v>
      </c>
    </row>
    <row r="10" spans="1:34" ht="45" customHeight="1" x14ac:dyDescent="0.25">
      <c r="A10" s="102" t="s">
        <v>2</v>
      </c>
      <c r="B10" s="1008" t="s">
        <v>1004</v>
      </c>
      <c r="C10" s="1008"/>
      <c r="D10" s="1008"/>
      <c r="E10" s="1008"/>
      <c r="F10" s="9"/>
      <c r="G10" s="997"/>
      <c r="H10" s="67"/>
      <c r="I10" s="9"/>
      <c r="J10" s="9"/>
      <c r="K10" s="9"/>
      <c r="L10" s="9"/>
      <c r="M10" s="7"/>
      <c r="N10" s="255" t="s">
        <v>149</v>
      </c>
      <c r="O10" s="255" t="s">
        <v>152</v>
      </c>
      <c r="P10" s="260" t="s">
        <v>150</v>
      </c>
      <c r="Q10" s="260" t="s">
        <v>534</v>
      </c>
      <c r="S10" s="261">
        <f>H14</f>
        <v>46882.329252344512</v>
      </c>
      <c r="T10" s="89">
        <f>P11</f>
        <v>0.26819999999999999</v>
      </c>
      <c r="U10" s="89"/>
      <c r="V10" s="1022"/>
      <c r="Z10" s="1028"/>
      <c r="AA10" s="1029"/>
      <c r="AB10" s="357"/>
    </row>
    <row r="11" spans="1:34" ht="15.75" customHeight="1" x14ac:dyDescent="0.25">
      <c r="A11" s="102" t="s">
        <v>29</v>
      </c>
      <c r="B11" s="1008"/>
      <c r="C11" s="1008"/>
      <c r="D11" s="1008"/>
      <c r="E11" s="1008"/>
      <c r="F11" s="9"/>
      <c r="G11" s="254">
        <v>100</v>
      </c>
      <c r="H11" s="131" t="s">
        <v>538</v>
      </c>
      <c r="I11" s="9"/>
      <c r="J11" s="9"/>
      <c r="K11" s="9"/>
      <c r="L11" s="9"/>
      <c r="N11" s="252">
        <v>0.7</v>
      </c>
      <c r="O11" s="252">
        <v>0.25</v>
      </c>
      <c r="P11" s="251">
        <f>AB8</f>
        <v>0.26819999999999999</v>
      </c>
      <c r="Q11" s="260">
        <f>AB9</f>
        <v>3.1300000000000001E-2</v>
      </c>
      <c r="S11" s="261">
        <f>I14</f>
        <v>4047.431355855701</v>
      </c>
      <c r="T11" s="89">
        <f>Q11</f>
        <v>3.1300000000000001E-2</v>
      </c>
      <c r="U11" s="89"/>
      <c r="V11" s="1022"/>
      <c r="Z11" s="1028" t="s">
        <v>613</v>
      </c>
      <c r="AA11" s="1029"/>
      <c r="AB11" s="357">
        <v>0.26819999999999999</v>
      </c>
      <c r="AC11" s="86" t="s">
        <v>254</v>
      </c>
      <c r="AD11" s="60" t="s">
        <v>147</v>
      </c>
      <c r="AE11" s="60" t="s">
        <v>148</v>
      </c>
      <c r="AF11" s="59" t="s">
        <v>149</v>
      </c>
      <c r="AG11" s="59" t="s">
        <v>152</v>
      </c>
    </row>
    <row r="12" spans="1:34" ht="30" customHeight="1" x14ac:dyDescent="0.25">
      <c r="A12" s="102" t="s">
        <v>14</v>
      </c>
      <c r="B12" s="1010" t="s">
        <v>607</v>
      </c>
      <c r="C12" s="1010"/>
      <c r="D12" s="1010"/>
      <c r="E12" s="1010"/>
      <c r="G12" s="9"/>
      <c r="H12" s="67"/>
      <c r="I12" s="9"/>
      <c r="J12" s="9"/>
      <c r="K12" s="9"/>
      <c r="L12" s="9"/>
      <c r="M12" s="9"/>
      <c r="N12" s="255" t="s">
        <v>147</v>
      </c>
      <c r="O12" s="255" t="s">
        <v>148</v>
      </c>
      <c r="P12" s="260" t="s">
        <v>130</v>
      </c>
      <c r="Q12" s="251" t="s">
        <v>536</v>
      </c>
      <c r="S12" s="263">
        <f>S10+S11</f>
        <v>50929.760608200217</v>
      </c>
      <c r="T12" s="90">
        <f>U12/S12</f>
        <v>0.24937335568139635</v>
      </c>
      <c r="U12" s="89">
        <f>(S10*T10)+(S11*T11)</f>
        <v>12700.525306917081</v>
      </c>
      <c r="V12" s="1022"/>
      <c r="Z12" s="1028" t="s">
        <v>614</v>
      </c>
      <c r="AA12" s="1029"/>
      <c r="AB12" s="357">
        <v>1.18E-2</v>
      </c>
      <c r="AC12" s="87">
        <f>AC14*AG12*10</f>
        <v>4777.6510889493638</v>
      </c>
      <c r="AD12" s="192">
        <v>100</v>
      </c>
      <c r="AE12" s="192">
        <v>140</v>
      </c>
      <c r="AF12" s="189">
        <v>0.86</v>
      </c>
      <c r="AG12" s="189">
        <v>0.25</v>
      </c>
    </row>
    <row r="13" spans="1:34" ht="30" customHeight="1" x14ac:dyDescent="0.25">
      <c r="A13" s="102" t="s">
        <v>3</v>
      </c>
      <c r="B13" s="1010"/>
      <c r="C13" s="1010"/>
      <c r="D13" s="1010"/>
      <c r="E13" s="1010"/>
      <c r="G13" s="255" t="s">
        <v>151</v>
      </c>
      <c r="H13" s="260" t="s">
        <v>255</v>
      </c>
      <c r="I13" s="260" t="s">
        <v>256</v>
      </c>
      <c r="J13" s="257" t="s">
        <v>535</v>
      </c>
      <c r="K13" s="260" t="s">
        <v>254</v>
      </c>
      <c r="L13" s="1078"/>
      <c r="M13" s="9"/>
      <c r="N13" s="252">
        <v>100</v>
      </c>
      <c r="O13" s="252">
        <v>140</v>
      </c>
      <c r="P13" s="258">
        <f>T12</f>
        <v>0.24937335568139635</v>
      </c>
      <c r="Q13" s="251">
        <v>0.08</v>
      </c>
      <c r="Z13" s="1028" t="s">
        <v>615</v>
      </c>
      <c r="AA13" s="1029"/>
      <c r="AB13" s="358">
        <f>AB15/0.55</f>
        <v>0.50363636363636366</v>
      </c>
      <c r="AC13" s="67"/>
      <c r="AD13" s="9"/>
      <c r="AE13" s="9"/>
      <c r="AF13" s="9"/>
      <c r="AG13" s="9"/>
      <c r="AH13" s="9"/>
    </row>
    <row r="14" spans="1:34" ht="30" customHeight="1" x14ac:dyDescent="0.25">
      <c r="A14" s="102" t="s">
        <v>15</v>
      </c>
      <c r="B14" s="1010"/>
      <c r="C14" s="1010"/>
      <c r="D14" s="1010"/>
      <c r="E14" s="1010"/>
      <c r="G14" s="433">
        <v>3398</v>
      </c>
      <c r="H14" s="256">
        <f>'Objectifs CO2'!Z32</f>
        <v>46882.329252344512</v>
      </c>
      <c r="I14" s="256">
        <f>'Objectifs CO2'!AA32</f>
        <v>4047.431355855701</v>
      </c>
      <c r="J14" s="259">
        <f>(H14+I14)/G14*1000</f>
        <v>14988.157918834671</v>
      </c>
      <c r="K14" s="259">
        <f>J14*$O$11</f>
        <v>3747.0394797086678</v>
      </c>
      <c r="L14" s="1078"/>
      <c r="M14" s="9"/>
      <c r="N14" s="9"/>
      <c r="Z14" s="1028" t="s">
        <v>616</v>
      </c>
      <c r="AA14" s="1029"/>
      <c r="AB14" s="357">
        <v>0.26819999999999999</v>
      </c>
      <c r="AC14" s="65">
        <f>(AG17+AH17)/AF17*100</f>
        <v>1911.0604355797457</v>
      </c>
      <c r="AD14" s="9"/>
      <c r="AE14" s="9"/>
      <c r="AF14" s="9"/>
      <c r="AG14" s="9"/>
      <c r="AH14" s="9"/>
    </row>
    <row r="15" spans="1:34" ht="30" customHeight="1" x14ac:dyDescent="0.25">
      <c r="A15" s="102" t="s">
        <v>4</v>
      </c>
      <c r="B15" s="1010">
        <v>2015</v>
      </c>
      <c r="C15" s="1010"/>
      <c r="D15" s="1010"/>
      <c r="E15" s="1010"/>
      <c r="N15" s="9"/>
      <c r="Z15" s="1028" t="s">
        <v>578</v>
      </c>
      <c r="AA15" s="1029"/>
      <c r="AB15" s="357">
        <v>0.27700000000000002</v>
      </c>
      <c r="AC15" s="9"/>
      <c r="AD15" s="9"/>
      <c r="AE15" s="9"/>
      <c r="AF15" s="9"/>
      <c r="AG15" s="9"/>
      <c r="AH15" s="9"/>
    </row>
    <row r="16" spans="1:34" ht="30" customHeight="1" x14ac:dyDescent="0.25">
      <c r="A16" s="102" t="s">
        <v>5</v>
      </c>
      <c r="B16" s="1010">
        <v>2030</v>
      </c>
      <c r="C16" s="1010"/>
      <c r="D16" s="1010"/>
      <c r="E16" s="1010"/>
      <c r="N16" s="9"/>
      <c r="Z16" s="1028" t="s">
        <v>579</v>
      </c>
      <c r="AA16" s="1029"/>
      <c r="AB16" s="357">
        <v>0.20269999999999999</v>
      </c>
      <c r="AC16" s="66">
        <v>0</v>
      </c>
      <c r="AD16" s="60" t="s">
        <v>150</v>
      </c>
      <c r="AE16" s="60" t="s">
        <v>130</v>
      </c>
      <c r="AF16" s="60" t="s">
        <v>151</v>
      </c>
      <c r="AG16" s="60" t="s">
        <v>255</v>
      </c>
      <c r="AH16" s="60" t="s">
        <v>256</v>
      </c>
    </row>
    <row r="17" spans="1:34" ht="30" customHeight="1" x14ac:dyDescent="0.25">
      <c r="A17" s="102" t="s">
        <v>6</v>
      </c>
      <c r="B17" s="1012">
        <f>SUM(G11:L11)*N13*O13</f>
        <v>1400000</v>
      </c>
      <c r="C17" s="1012"/>
      <c r="D17" s="1012"/>
      <c r="E17" s="1012"/>
      <c r="G17" s="9"/>
      <c r="H17" s="9"/>
      <c r="I17" s="9"/>
      <c r="J17" s="9"/>
      <c r="K17" s="9"/>
      <c r="L17" s="9"/>
      <c r="M17" s="9"/>
      <c r="N17" s="9"/>
      <c r="AB17" s="66" t="s">
        <v>154</v>
      </c>
      <c r="AC17" s="66">
        <v>100</v>
      </c>
      <c r="AD17" s="192">
        <v>0.26100000000000001</v>
      </c>
      <c r="AE17" s="88">
        <f>AE23</f>
        <v>0.24629789278623188</v>
      </c>
      <c r="AF17" s="192">
        <v>2665</v>
      </c>
      <c r="AG17" s="208">
        <f>'Objectifs CO2'!Z32</f>
        <v>46882.329252344512</v>
      </c>
      <c r="AH17" s="209">
        <f>'Objectifs CO2'!AA32</f>
        <v>4047.431355855701</v>
      </c>
    </row>
    <row r="18" spans="1:34" ht="30" customHeight="1" x14ac:dyDescent="0.25">
      <c r="A18" s="102" t="s">
        <v>7</v>
      </c>
      <c r="B18" s="1012">
        <f>B17*Q13</f>
        <v>112000</v>
      </c>
      <c r="C18" s="1012"/>
      <c r="D18" s="1012"/>
      <c r="E18" s="1012"/>
      <c r="G18" s="9"/>
      <c r="H18" s="9"/>
      <c r="I18" s="9"/>
      <c r="J18" s="9"/>
      <c r="K18" s="9"/>
      <c r="L18" s="9"/>
      <c r="M18" s="9"/>
      <c r="AB18" s="66" t="s">
        <v>155</v>
      </c>
      <c r="AC18" s="66">
        <v>0</v>
      </c>
      <c r="AF18" s="9"/>
      <c r="AG18" s="9"/>
      <c r="AH18" s="9"/>
    </row>
    <row r="19" spans="1:34" ht="30" customHeight="1" x14ac:dyDescent="0.25">
      <c r="A19" s="99" t="s">
        <v>307</v>
      </c>
      <c r="B19" s="1039">
        <f>G11*K14</f>
        <v>374703.94797086681</v>
      </c>
      <c r="C19" s="1040"/>
      <c r="D19" s="1040"/>
      <c r="E19" s="1040"/>
      <c r="G19" s="9"/>
      <c r="H19" s="9"/>
      <c r="I19" s="9"/>
      <c r="J19" s="9"/>
      <c r="K19" s="9"/>
      <c r="L19" s="9"/>
      <c r="M19" s="9"/>
      <c r="AB19" s="66" t="s">
        <v>252</v>
      </c>
      <c r="AC19" s="66">
        <v>0</v>
      </c>
      <c r="AF19" s="9"/>
      <c r="AG19" s="9"/>
      <c r="AH19" s="9"/>
    </row>
    <row r="20" spans="1:34" ht="30" customHeight="1" x14ac:dyDescent="0.25">
      <c r="A20" s="96" t="s">
        <v>306</v>
      </c>
      <c r="B20" s="1041"/>
      <c r="C20" s="1042"/>
      <c r="D20" s="1042"/>
      <c r="E20" s="1042"/>
      <c r="G20" s="9"/>
      <c r="H20" s="9"/>
      <c r="I20" s="9"/>
      <c r="J20" s="9"/>
      <c r="K20" s="9"/>
      <c r="L20" s="9"/>
      <c r="M20" s="9"/>
      <c r="AB20" s="9"/>
      <c r="AC20" s="10"/>
      <c r="AD20" s="9"/>
      <c r="AE20" s="9"/>
      <c r="AF20" s="9"/>
      <c r="AG20" s="9"/>
      <c r="AH20" s="9"/>
    </row>
    <row r="21" spans="1:34" ht="30" customHeight="1" x14ac:dyDescent="0.25">
      <c r="A21" s="102" t="s">
        <v>8</v>
      </c>
      <c r="B21" s="1000">
        <f>(B19*AF12/10)</f>
        <v>32224.539525494543</v>
      </c>
      <c r="C21" s="1000"/>
      <c r="D21" s="1000"/>
      <c r="E21" s="1000"/>
      <c r="G21" s="9"/>
      <c r="H21" s="9"/>
      <c r="I21" s="9"/>
      <c r="J21" s="9"/>
      <c r="K21" s="9"/>
      <c r="L21" s="9"/>
      <c r="M21" s="9"/>
      <c r="N21" s="9"/>
      <c r="AB21" s="9"/>
      <c r="AC21" s="10"/>
      <c r="AD21" s="89">
        <f>AG17</f>
        <v>46882.329252344512</v>
      </c>
      <c r="AE21" s="89">
        <v>0.26100000000000001</v>
      </c>
      <c r="AF21" s="89"/>
      <c r="AG21" s="9"/>
      <c r="AH21" s="9"/>
    </row>
    <row r="22" spans="1:34" ht="30" customHeight="1" x14ac:dyDescent="0.25">
      <c r="A22" s="102" t="s">
        <v>9</v>
      </c>
      <c r="B22" s="1000"/>
      <c r="C22" s="1000"/>
      <c r="D22" s="1000"/>
      <c r="E22" s="1000"/>
      <c r="G22" s="9"/>
      <c r="H22" s="9"/>
      <c r="I22" s="9"/>
      <c r="J22" s="9"/>
      <c r="K22" s="9"/>
      <c r="L22" s="9"/>
      <c r="M22" s="9"/>
      <c r="N22" s="9"/>
      <c r="AB22" s="9"/>
      <c r="AC22" s="9"/>
      <c r="AD22" s="89">
        <f>AH17</f>
        <v>4047.431355855701</v>
      </c>
      <c r="AE22" s="89">
        <v>7.5999999999999998E-2</v>
      </c>
      <c r="AF22" s="89"/>
      <c r="AG22" s="9"/>
      <c r="AH22" s="9"/>
    </row>
    <row r="23" spans="1:34" ht="30" customHeight="1" x14ac:dyDescent="0.25">
      <c r="A23" s="102" t="s">
        <v>301</v>
      </c>
      <c r="B23" s="1016">
        <f>B17/(B21+B22)</f>
        <v>43.445151447156775</v>
      </c>
      <c r="C23" s="1016"/>
      <c r="D23" s="1016"/>
      <c r="E23" s="1016"/>
      <c r="G23" s="9"/>
      <c r="H23" s="9"/>
      <c r="I23" s="9"/>
      <c r="J23" s="9"/>
      <c r="K23" s="9"/>
      <c r="L23" s="9"/>
      <c r="M23" s="9"/>
      <c r="N23" s="9"/>
      <c r="AB23" s="9"/>
      <c r="AC23" s="9"/>
      <c r="AD23" s="89">
        <f>AD21+AD22</f>
        <v>50929.760608200217</v>
      </c>
      <c r="AE23" s="90">
        <f>AF23/AD23</f>
        <v>0.24629789278623188</v>
      </c>
      <c r="AF23" s="89">
        <f>(AD21*AE21)+(AD22*AE22)</f>
        <v>12543.892717906952</v>
      </c>
      <c r="AG23" s="9"/>
      <c r="AH23" s="9"/>
    </row>
    <row r="24" spans="1:34" ht="30" customHeight="1" x14ac:dyDescent="0.25">
      <c r="A24" s="102" t="s">
        <v>302</v>
      </c>
      <c r="B24" s="1017">
        <f>(B17-B18)/(B21+B22)</f>
        <v>39.969539331384233</v>
      </c>
      <c r="C24" s="1017"/>
      <c r="D24" s="1017"/>
      <c r="E24" s="1017"/>
      <c r="G24" s="9"/>
      <c r="H24" s="9"/>
      <c r="I24" s="9"/>
      <c r="J24" s="9"/>
      <c r="K24" s="9"/>
      <c r="L24" s="9"/>
      <c r="M24" s="9"/>
      <c r="N24" s="9"/>
    </row>
    <row r="25" spans="1:34" ht="30" customHeight="1" x14ac:dyDescent="0.25">
      <c r="A25" s="103" t="s">
        <v>305</v>
      </c>
      <c r="B25" s="1036">
        <f>B19*P13/1000</f>
        <v>93.4411808925624</v>
      </c>
      <c r="C25" s="1036"/>
      <c r="D25" s="1036"/>
      <c r="E25" s="1036"/>
      <c r="G25" s="9"/>
      <c r="H25" s="9"/>
      <c r="I25" s="9"/>
      <c r="J25" s="9"/>
      <c r="K25" s="9"/>
      <c r="L25" s="9"/>
      <c r="M25" s="9"/>
      <c r="N25" s="9"/>
    </row>
    <row r="26" spans="1:34" ht="30" customHeight="1" x14ac:dyDescent="0.25">
      <c r="A26" s="104" t="s">
        <v>303</v>
      </c>
      <c r="B26" s="1058">
        <f>B25/'Objectifs CO2'!C8</f>
        <v>8.6193519157320517E-3</v>
      </c>
      <c r="C26" s="1058"/>
      <c r="D26" s="1058"/>
      <c r="E26" s="1058"/>
      <c r="G26" s="9"/>
      <c r="H26" s="9"/>
      <c r="I26" s="9"/>
      <c r="J26" s="9"/>
      <c r="K26" s="9"/>
      <c r="L26" s="9"/>
      <c r="M26" s="9"/>
      <c r="N26" s="9"/>
    </row>
    <row r="27" spans="1:34" ht="30" customHeight="1" x14ac:dyDescent="0.25">
      <c r="A27" s="104" t="s">
        <v>304</v>
      </c>
      <c r="B27" s="1056">
        <f>B25/'Objectifs CO2'!C4</f>
        <v>4.3096759578660259E-3</v>
      </c>
      <c r="C27" s="1057"/>
      <c r="D27" s="1057"/>
      <c r="E27" s="1057"/>
      <c r="G27" s="9"/>
      <c r="H27" s="9"/>
      <c r="I27" s="9"/>
      <c r="J27" s="9"/>
      <c r="K27" s="9"/>
      <c r="L27" s="9"/>
      <c r="M27" s="9"/>
      <c r="N27" s="9"/>
    </row>
    <row r="28" spans="1:34" ht="30" customHeight="1" x14ac:dyDescent="0.25">
      <c r="A28" s="104" t="s">
        <v>22</v>
      </c>
      <c r="B28" s="999"/>
      <c r="C28" s="999"/>
      <c r="D28" s="999"/>
      <c r="E28" s="999"/>
      <c r="G28" s="9"/>
      <c r="H28" s="9"/>
      <c r="I28" s="9"/>
      <c r="J28" s="9"/>
      <c r="K28" s="9"/>
      <c r="L28" s="9"/>
      <c r="M28" s="9"/>
      <c r="N28" s="9"/>
    </row>
    <row r="29" spans="1:34" ht="30" customHeight="1" x14ac:dyDescent="0.25">
      <c r="A29" s="101" t="s">
        <v>257</v>
      </c>
      <c r="B29" s="999" t="s">
        <v>267</v>
      </c>
      <c r="C29" s="999"/>
      <c r="D29" s="999"/>
      <c r="E29" s="999"/>
      <c r="F29" s="6" t="s">
        <v>264</v>
      </c>
    </row>
    <row r="31" spans="1:34" x14ac:dyDescent="0.25">
      <c r="A31" s="603" t="s">
        <v>1065</v>
      </c>
      <c r="B31" s="1003" t="s">
        <v>675</v>
      </c>
      <c r="C31" s="1003"/>
      <c r="D31" s="1003"/>
      <c r="E31" s="56" t="s">
        <v>676</v>
      </c>
    </row>
    <row r="32" spans="1:34"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7">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44:D44"/>
    <mergeCell ref="B37:D37"/>
    <mergeCell ref="B38:D38"/>
    <mergeCell ref="B39:D39"/>
    <mergeCell ref="B40:D40"/>
    <mergeCell ref="B41:D41"/>
    <mergeCell ref="G40:I40"/>
    <mergeCell ref="B34:D34"/>
    <mergeCell ref="G59:L59"/>
    <mergeCell ref="G46:L46"/>
    <mergeCell ref="H34:I34"/>
    <mergeCell ref="B35:D35"/>
    <mergeCell ref="H35:I35"/>
    <mergeCell ref="B36:D36"/>
    <mergeCell ref="B42:D42"/>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B8:E8"/>
    <mergeCell ref="B9:E9"/>
    <mergeCell ref="B10:E10"/>
    <mergeCell ref="V10:V12"/>
    <mergeCell ref="G8:G10"/>
    <mergeCell ref="B12:E12"/>
    <mergeCell ref="G7:H7"/>
    <mergeCell ref="B11:E11"/>
    <mergeCell ref="Z16:AA16"/>
    <mergeCell ref="Z11:AA11"/>
    <mergeCell ref="Z12:AA12"/>
    <mergeCell ref="Z13:AA13"/>
    <mergeCell ref="Z14:AA14"/>
    <mergeCell ref="Z15:AA15"/>
    <mergeCell ref="B31:D31"/>
    <mergeCell ref="B32:D32"/>
    <mergeCell ref="G32:I32"/>
    <mergeCell ref="B29:E29"/>
    <mergeCell ref="B24:E24"/>
    <mergeCell ref="B25:E25"/>
    <mergeCell ref="B26:E26"/>
    <mergeCell ref="B27:E27"/>
    <mergeCell ref="B28:E28"/>
    <mergeCell ref="L13:L14"/>
    <mergeCell ref="B23:E23"/>
    <mergeCell ref="B13:E13"/>
    <mergeCell ref="B14:E14"/>
    <mergeCell ref="B15:E15"/>
    <mergeCell ref="B16:E16"/>
    <mergeCell ref="B17:E17"/>
    <mergeCell ref="B18:E18"/>
    <mergeCell ref="B19:E19"/>
    <mergeCell ref="A1:E1"/>
    <mergeCell ref="B2:E2"/>
    <mergeCell ref="G2:H2"/>
    <mergeCell ref="B3:E3"/>
    <mergeCell ref="G3:H3"/>
    <mergeCell ref="G6:H6"/>
    <mergeCell ref="G4:H4"/>
    <mergeCell ref="G5:H5"/>
    <mergeCell ref="B33:D33"/>
    <mergeCell ref="H33:I33"/>
    <mergeCell ref="B4:E4"/>
    <mergeCell ref="B5:E5"/>
    <mergeCell ref="B6:E6"/>
    <mergeCell ref="B7:E7"/>
    <mergeCell ref="B20:E20"/>
    <mergeCell ref="B21:E21"/>
    <mergeCell ref="B22:E22"/>
  </mergeCells>
  <conditionalFormatting sqref="B5">
    <cfRule type="containsText" dxfId="257" priority="1" operator="containsText" text="Terminé">
      <formula>NOT(ISERROR(SEARCH("Terminé",B5)))</formula>
    </cfRule>
    <cfRule type="containsText" dxfId="256" priority="2" operator="containsText" text="En cours">
      <formula>NOT(ISERROR(SEARCH("En cours",B5)))</formula>
    </cfRule>
    <cfRule type="containsText" dxfId="25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69"/>
  <sheetViews>
    <sheetView topLeftCell="A16" zoomScaleNormal="100" workbookViewId="0">
      <selection activeCell="B8" sqref="B8:E8"/>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36" ht="26.25" x14ac:dyDescent="0.4">
      <c r="A1" s="1001" t="s">
        <v>937</v>
      </c>
      <c r="B1" s="1001"/>
      <c r="C1" s="1001"/>
      <c r="D1" s="1001"/>
      <c r="E1" s="1001"/>
      <c r="F1" s="276"/>
      <c r="G1" s="7"/>
      <c r="H1" s="7"/>
    </row>
    <row r="2" spans="1:36" ht="19.5" customHeight="1" x14ac:dyDescent="0.25">
      <c r="A2" s="415" t="s">
        <v>750</v>
      </c>
      <c r="B2" s="1068" t="s">
        <v>485</v>
      </c>
      <c r="C2" s="1068"/>
      <c r="D2" s="1068"/>
      <c r="E2" s="1068"/>
      <c r="F2" s="7"/>
      <c r="G2" s="986" t="s">
        <v>751</v>
      </c>
      <c r="H2" s="986"/>
    </row>
    <row r="3" spans="1:36" ht="19.5" customHeight="1" x14ac:dyDescent="0.25">
      <c r="A3" s="409" t="s">
        <v>743</v>
      </c>
      <c r="B3" s="987" t="s">
        <v>457</v>
      </c>
      <c r="C3" s="987"/>
      <c r="D3" s="987"/>
      <c r="E3" s="987"/>
      <c r="F3" s="7"/>
      <c r="G3" s="986" t="s">
        <v>752</v>
      </c>
      <c r="H3" s="986"/>
    </row>
    <row r="4" spans="1:36" ht="19.5" customHeight="1" x14ac:dyDescent="0.25">
      <c r="A4" s="403" t="s">
        <v>292</v>
      </c>
      <c r="B4" s="996" t="s">
        <v>31</v>
      </c>
      <c r="C4" s="996"/>
      <c r="D4" s="996"/>
      <c r="E4" s="996"/>
      <c r="F4" s="7"/>
      <c r="G4" s="986" t="s">
        <v>753</v>
      </c>
      <c r="H4" s="986"/>
    </row>
    <row r="5" spans="1:36" ht="19.5" customHeight="1" x14ac:dyDescent="0.25">
      <c r="A5" s="403" t="s">
        <v>16</v>
      </c>
      <c r="B5" s="1015" t="s">
        <v>17</v>
      </c>
      <c r="C5" s="1015"/>
      <c r="D5" s="1015"/>
      <c r="E5" s="1015"/>
      <c r="F5" s="7"/>
      <c r="G5" s="986" t="s">
        <v>754</v>
      </c>
      <c r="H5" s="986"/>
      <c r="K5" s="9"/>
      <c r="L5" s="9"/>
      <c r="M5" s="9"/>
      <c r="N5" s="9"/>
      <c r="Z5" s="1023" t="s">
        <v>609</v>
      </c>
      <c r="AA5" s="1024"/>
      <c r="AB5" s="1025"/>
    </row>
    <row r="6" spans="1:36" ht="19.5" customHeight="1" x14ac:dyDescent="0.25">
      <c r="A6" s="413" t="s">
        <v>474</v>
      </c>
      <c r="B6" s="993" t="s">
        <v>424</v>
      </c>
      <c r="C6" s="993"/>
      <c r="D6" s="993"/>
      <c r="E6" s="993"/>
      <c r="F6" s="7"/>
      <c r="G6" s="986" t="s">
        <v>755</v>
      </c>
      <c r="H6" s="986"/>
      <c r="K6" s="9"/>
      <c r="L6" s="9"/>
      <c r="M6" s="9"/>
      <c r="N6" s="9"/>
      <c r="Z6" s="1026"/>
      <c r="AA6" s="1027"/>
      <c r="AB6" s="357" t="s">
        <v>610</v>
      </c>
    </row>
    <row r="7" spans="1:36" ht="19.5" customHeight="1" x14ac:dyDescent="0.25">
      <c r="A7" s="253" t="s">
        <v>475</v>
      </c>
      <c r="B7" s="994" t="s">
        <v>426</v>
      </c>
      <c r="C7" s="994"/>
      <c r="D7" s="994"/>
      <c r="E7" s="994"/>
      <c r="F7" s="7"/>
      <c r="G7" s="995" t="s">
        <v>756</v>
      </c>
      <c r="H7" s="995"/>
      <c r="I7" s="400"/>
      <c r="J7" s="400"/>
      <c r="K7" s="9"/>
      <c r="L7" s="9"/>
      <c r="M7" s="9"/>
      <c r="N7" s="9"/>
      <c r="Z7" s="401"/>
      <c r="AA7" s="402"/>
      <c r="AB7" s="357"/>
    </row>
    <row r="8" spans="1:36" ht="24" customHeight="1" x14ac:dyDescent="0.25">
      <c r="A8" s="193" t="s">
        <v>1</v>
      </c>
      <c r="B8" s="967" t="s">
        <v>1295</v>
      </c>
      <c r="C8" s="967"/>
      <c r="D8" s="967"/>
      <c r="E8" s="967"/>
      <c r="G8" s="997" t="s">
        <v>936</v>
      </c>
      <c r="H8" s="67"/>
      <c r="I8" s="9"/>
      <c r="J8" s="9"/>
      <c r="K8" s="9"/>
      <c r="L8" s="9"/>
      <c r="N8" s="9"/>
      <c r="O8" s="9"/>
      <c r="Z8" s="1028" t="s">
        <v>611</v>
      </c>
      <c r="AA8" s="1029"/>
      <c r="AB8" s="357">
        <v>0.26819999999999999</v>
      </c>
    </row>
    <row r="9" spans="1:36" ht="24" customHeight="1" x14ac:dyDescent="0.25">
      <c r="A9" s="193" t="s">
        <v>0</v>
      </c>
      <c r="B9" s="996" t="s">
        <v>1090</v>
      </c>
      <c r="C9" s="996"/>
      <c r="D9" s="996"/>
      <c r="E9" s="996"/>
      <c r="G9" s="997"/>
      <c r="H9" s="67"/>
      <c r="I9" s="9"/>
      <c r="J9" s="9"/>
      <c r="K9" s="9"/>
      <c r="L9" s="9"/>
      <c r="N9" s="9"/>
      <c r="O9" s="9"/>
      <c r="Z9" s="1028" t="s">
        <v>612</v>
      </c>
      <c r="AA9" s="1029"/>
      <c r="AB9" s="357">
        <v>3.1300000000000001E-2</v>
      </c>
    </row>
    <row r="10" spans="1:36" ht="54" customHeight="1" x14ac:dyDescent="0.25">
      <c r="A10" s="193" t="s">
        <v>2</v>
      </c>
      <c r="B10" s="1008" t="s">
        <v>959</v>
      </c>
      <c r="C10" s="1008"/>
      <c r="D10" s="1008"/>
      <c r="E10" s="1008"/>
      <c r="G10" s="997"/>
      <c r="H10" s="67"/>
      <c r="I10" s="9"/>
      <c r="J10" s="9"/>
      <c r="K10" s="9"/>
      <c r="L10" s="9"/>
      <c r="M10" s="7"/>
      <c r="N10" s="255" t="s">
        <v>149</v>
      </c>
      <c r="O10" s="255" t="s">
        <v>152</v>
      </c>
      <c r="P10" s="260" t="s">
        <v>150</v>
      </c>
      <c r="Q10" s="260" t="s">
        <v>534</v>
      </c>
      <c r="S10" s="261">
        <f>H14</f>
        <v>46882.329252344512</v>
      </c>
      <c r="T10" s="89">
        <f>P11</f>
        <v>0.26819999999999999</v>
      </c>
      <c r="U10" s="89"/>
      <c r="V10" s="1022"/>
      <c r="Z10" s="1028"/>
      <c r="AA10" s="1029"/>
      <c r="AB10" s="357"/>
      <c r="AD10" s="82" t="s">
        <v>146</v>
      </c>
      <c r="AE10" s="86" t="s">
        <v>254</v>
      </c>
      <c r="AF10" s="60" t="s">
        <v>147</v>
      </c>
      <c r="AG10" s="60" t="s">
        <v>148</v>
      </c>
      <c r="AH10" s="59" t="s">
        <v>149</v>
      </c>
      <c r="AI10" s="59" t="s">
        <v>152</v>
      </c>
    </row>
    <row r="11" spans="1:36" ht="54" customHeight="1" x14ac:dyDescent="0.25">
      <c r="A11" s="193" t="s">
        <v>29</v>
      </c>
      <c r="B11" s="1008"/>
      <c r="C11" s="1008"/>
      <c r="D11" s="1008"/>
      <c r="E11" s="1008"/>
      <c r="G11" s="254">
        <v>300</v>
      </c>
      <c r="H11" s="131" t="s">
        <v>537</v>
      </c>
      <c r="I11" s="9"/>
      <c r="J11" s="9"/>
      <c r="K11" s="9"/>
      <c r="L11" s="9"/>
      <c r="N11" s="252">
        <v>0.7</v>
      </c>
      <c r="O11" s="252">
        <v>0.1</v>
      </c>
      <c r="P11" s="251">
        <f>AB8</f>
        <v>0.26819999999999999</v>
      </c>
      <c r="Q11" s="260">
        <f>AB9</f>
        <v>3.1300000000000001E-2</v>
      </c>
      <c r="S11" s="261">
        <f>I14</f>
        <v>4047.431355855701</v>
      </c>
      <c r="T11" s="89">
        <f>Q11</f>
        <v>3.1300000000000001E-2</v>
      </c>
      <c r="U11" s="89"/>
      <c r="V11" s="1022"/>
      <c r="Z11" s="1028" t="s">
        <v>613</v>
      </c>
      <c r="AA11" s="1029"/>
      <c r="AB11" s="357">
        <v>0.26819999999999999</v>
      </c>
      <c r="AD11" s="191">
        <f>SUM(AE15:AE18)</f>
        <v>150</v>
      </c>
      <c r="AE11" s="87">
        <f>AE13*AI11*10</f>
        <v>1911.0604355797457</v>
      </c>
      <c r="AF11" s="192">
        <v>450</v>
      </c>
      <c r="AG11" s="192">
        <v>12</v>
      </c>
      <c r="AH11" s="189">
        <v>0.86</v>
      </c>
      <c r="AI11" s="189">
        <v>0.1</v>
      </c>
    </row>
    <row r="12" spans="1:36" ht="30" customHeight="1" x14ac:dyDescent="0.25">
      <c r="A12" s="193" t="s">
        <v>14</v>
      </c>
      <c r="B12" s="1010" t="s">
        <v>607</v>
      </c>
      <c r="C12" s="1010"/>
      <c r="D12" s="1010"/>
      <c r="E12" s="1010"/>
      <c r="G12" s="9"/>
      <c r="H12" s="67"/>
      <c r="I12" s="9"/>
      <c r="J12" s="9"/>
      <c r="K12" s="9"/>
      <c r="L12" s="9"/>
      <c r="M12" s="9"/>
      <c r="N12" s="255" t="s">
        <v>147</v>
      </c>
      <c r="O12" s="255" t="s">
        <v>148</v>
      </c>
      <c r="P12" s="260" t="s">
        <v>130</v>
      </c>
      <c r="Q12" s="251" t="s">
        <v>536</v>
      </c>
      <c r="S12" s="263">
        <f>S10+S11</f>
        <v>50929.760608200217</v>
      </c>
      <c r="T12" s="90">
        <f>U12/S12</f>
        <v>0.24937335568139635</v>
      </c>
      <c r="U12" s="89">
        <f>(S10*T10)+(S11*T11)</f>
        <v>12700.525306917081</v>
      </c>
      <c r="V12" s="1022"/>
      <c r="Z12" s="1028" t="s">
        <v>614</v>
      </c>
      <c r="AA12" s="1029"/>
      <c r="AB12" s="357">
        <v>1.18E-2</v>
      </c>
      <c r="AD12" s="9"/>
      <c r="AE12" s="67"/>
      <c r="AF12" s="9"/>
      <c r="AG12" s="9"/>
      <c r="AH12" s="9"/>
      <c r="AI12" s="9"/>
      <c r="AJ12" s="9"/>
    </row>
    <row r="13" spans="1:36" ht="30" customHeight="1" x14ac:dyDescent="0.25">
      <c r="A13" s="193" t="s">
        <v>3</v>
      </c>
      <c r="B13" s="1010"/>
      <c r="C13" s="1010"/>
      <c r="D13" s="1010"/>
      <c r="E13" s="1010"/>
      <c r="G13" s="255" t="s">
        <v>151</v>
      </c>
      <c r="H13" s="260" t="s">
        <v>255</v>
      </c>
      <c r="I13" s="260" t="s">
        <v>256</v>
      </c>
      <c r="J13" s="257" t="s">
        <v>535</v>
      </c>
      <c r="K13" s="260" t="s">
        <v>254</v>
      </c>
      <c r="L13" s="1078"/>
      <c r="M13" s="9"/>
      <c r="N13" s="252">
        <v>450</v>
      </c>
      <c r="O13" s="252">
        <v>12</v>
      </c>
      <c r="P13" s="258">
        <f>T12</f>
        <v>0.24937335568139635</v>
      </c>
      <c r="Q13" s="251">
        <v>250</v>
      </c>
      <c r="Z13" s="1028" t="s">
        <v>615</v>
      </c>
      <c r="AA13" s="1029"/>
      <c r="AB13" s="358">
        <f>AB15/0.55</f>
        <v>0.50363636363636366</v>
      </c>
      <c r="AD13" s="9"/>
      <c r="AE13" s="65">
        <f>(AI16+AJ16)/AH16*100</f>
        <v>1911.0604355797457</v>
      </c>
      <c r="AF13" s="9"/>
      <c r="AG13" s="9"/>
      <c r="AH13" s="9"/>
      <c r="AI13" s="9"/>
      <c r="AJ13" s="9"/>
    </row>
    <row r="14" spans="1:36" ht="30" customHeight="1" x14ac:dyDescent="0.25">
      <c r="A14" s="193" t="s">
        <v>15</v>
      </c>
      <c r="B14" s="1010"/>
      <c r="C14" s="1010"/>
      <c r="D14" s="1010"/>
      <c r="E14" s="1010"/>
      <c r="G14" s="433">
        <v>3398</v>
      </c>
      <c r="H14" s="256">
        <f>'Objectifs CO2'!Z32</f>
        <v>46882.329252344512</v>
      </c>
      <c r="I14" s="256">
        <f>'Objectifs CO2'!AA32</f>
        <v>4047.431355855701</v>
      </c>
      <c r="J14" s="259">
        <f>(H14+I14)/G14*1000</f>
        <v>14988.157918834671</v>
      </c>
      <c r="K14" s="259">
        <f>J14*$O$11</f>
        <v>1498.8157918834672</v>
      </c>
      <c r="L14" s="1078"/>
      <c r="M14" s="9"/>
      <c r="N14" s="9"/>
      <c r="Z14" s="1028" t="s">
        <v>616</v>
      </c>
      <c r="AA14" s="1029"/>
      <c r="AB14" s="357">
        <v>0.26819999999999999</v>
      </c>
      <c r="AD14" s="9"/>
      <c r="AE14" s="9"/>
      <c r="AF14" s="9"/>
      <c r="AG14" s="9"/>
      <c r="AH14" s="9"/>
      <c r="AI14" s="9"/>
      <c r="AJ14" s="9"/>
    </row>
    <row r="15" spans="1:36" ht="30" customHeight="1" x14ac:dyDescent="0.25">
      <c r="A15" s="102" t="s">
        <v>4</v>
      </c>
      <c r="B15" s="1010">
        <v>2015</v>
      </c>
      <c r="C15" s="1010"/>
      <c r="D15" s="1010"/>
      <c r="E15" s="1010"/>
      <c r="F15" s="9"/>
      <c r="N15" s="9"/>
      <c r="Z15" s="1028" t="s">
        <v>578</v>
      </c>
      <c r="AA15" s="1029"/>
      <c r="AB15" s="357">
        <v>0.27700000000000002</v>
      </c>
      <c r="AD15" s="66" t="s">
        <v>153</v>
      </c>
      <c r="AE15" s="66">
        <v>0</v>
      </c>
      <c r="AF15" s="60" t="s">
        <v>150</v>
      </c>
      <c r="AG15" s="60" t="s">
        <v>130</v>
      </c>
      <c r="AH15" s="60" t="s">
        <v>151</v>
      </c>
      <c r="AI15" s="60" t="s">
        <v>255</v>
      </c>
      <c r="AJ15" s="60" t="s">
        <v>256</v>
      </c>
    </row>
    <row r="16" spans="1:36" ht="30" customHeight="1" x14ac:dyDescent="0.25">
      <c r="A16" s="102" t="s">
        <v>5</v>
      </c>
      <c r="B16" s="1010">
        <v>2030</v>
      </c>
      <c r="C16" s="1010"/>
      <c r="D16" s="1010"/>
      <c r="E16" s="1010"/>
      <c r="F16" s="9"/>
      <c r="N16" s="9"/>
      <c r="Z16" s="1028" t="s">
        <v>579</v>
      </c>
      <c r="AA16" s="1029"/>
      <c r="AB16" s="357">
        <v>0.20269999999999999</v>
      </c>
      <c r="AD16" s="66" t="s">
        <v>154</v>
      </c>
      <c r="AE16" s="66">
        <v>0</v>
      </c>
      <c r="AF16" s="192">
        <v>0.26100000000000001</v>
      </c>
      <c r="AG16" s="88">
        <f>AG22</f>
        <v>0.24629789278623188</v>
      </c>
      <c r="AH16" s="192">
        <v>2665</v>
      </c>
      <c r="AI16" s="208">
        <f>'Objectifs CO2'!Z32</f>
        <v>46882.329252344512</v>
      </c>
      <c r="AJ16" s="209">
        <f>'Objectifs CO2'!AA32</f>
        <v>4047.431355855701</v>
      </c>
    </row>
    <row r="17" spans="1:36" ht="30" customHeight="1" x14ac:dyDescent="0.25">
      <c r="A17" s="102" t="s">
        <v>6</v>
      </c>
      <c r="B17" s="1012">
        <f>SUM(G11:L11)*N13*O13</f>
        <v>1620000</v>
      </c>
      <c r="C17" s="1012"/>
      <c r="D17" s="1012"/>
      <c r="E17" s="1012"/>
      <c r="F17" s="9"/>
      <c r="G17" s="9"/>
      <c r="H17" s="9"/>
      <c r="I17" s="9"/>
      <c r="J17" s="9"/>
      <c r="K17" s="9"/>
      <c r="L17" s="9"/>
      <c r="M17" s="9"/>
      <c r="N17" s="9"/>
      <c r="AD17" s="66" t="s">
        <v>155</v>
      </c>
      <c r="AE17" s="66">
        <v>150</v>
      </c>
      <c r="AH17" s="9"/>
      <c r="AI17" s="9"/>
      <c r="AJ17" s="9"/>
    </row>
    <row r="18" spans="1:36" ht="30" customHeight="1" x14ac:dyDescent="0.25">
      <c r="A18" s="102" t="s">
        <v>7</v>
      </c>
      <c r="B18" s="1012">
        <f>SUM(G11:L11)*Q13</f>
        <v>75000</v>
      </c>
      <c r="C18" s="1012"/>
      <c r="D18" s="1012"/>
      <c r="E18" s="1012"/>
      <c r="F18" s="9"/>
      <c r="G18" s="9"/>
      <c r="H18" s="9"/>
      <c r="I18" s="9"/>
      <c r="J18" s="9"/>
      <c r="K18" s="9"/>
      <c r="L18" s="9"/>
      <c r="M18" s="9"/>
      <c r="AD18" s="66" t="s">
        <v>252</v>
      </c>
      <c r="AE18" s="66">
        <v>0</v>
      </c>
      <c r="AH18" s="9"/>
      <c r="AI18" s="9"/>
      <c r="AJ18" s="9"/>
    </row>
    <row r="19" spans="1:36" ht="30" customHeight="1" x14ac:dyDescent="0.25">
      <c r="A19" s="99" t="s">
        <v>307</v>
      </c>
      <c r="B19" s="1039">
        <f>G11*K14</f>
        <v>449644.73756504018</v>
      </c>
      <c r="C19" s="1040"/>
      <c r="D19" s="1040"/>
      <c r="E19" s="1040"/>
      <c r="F19" s="9"/>
      <c r="G19" s="9"/>
      <c r="H19" s="9"/>
      <c r="I19" s="9"/>
      <c r="J19" s="9"/>
      <c r="K19" s="9"/>
      <c r="L19" s="9"/>
      <c r="M19" s="9"/>
      <c r="AD19" s="9"/>
      <c r="AE19" s="10"/>
      <c r="AF19" s="9"/>
      <c r="AG19" s="9"/>
      <c r="AH19" s="9"/>
      <c r="AI19" s="9"/>
      <c r="AJ19" s="9"/>
    </row>
    <row r="20" spans="1:36" ht="30" customHeight="1" x14ac:dyDescent="0.25">
      <c r="A20" s="96" t="s">
        <v>306</v>
      </c>
      <c r="B20" s="1041"/>
      <c r="C20" s="1042"/>
      <c r="D20" s="1042"/>
      <c r="E20" s="1042"/>
      <c r="F20" s="9"/>
      <c r="G20" s="9"/>
      <c r="H20" s="9"/>
      <c r="I20" s="9"/>
      <c r="J20" s="9"/>
      <c r="K20" s="9"/>
      <c r="L20" s="9"/>
      <c r="M20" s="9"/>
      <c r="AD20" s="9"/>
      <c r="AE20" s="10"/>
      <c r="AF20" s="89">
        <f>AI16</f>
        <v>46882.329252344512</v>
      </c>
      <c r="AG20" s="89">
        <v>0.26100000000000001</v>
      </c>
      <c r="AH20" s="89"/>
      <c r="AI20" s="9"/>
      <c r="AJ20" s="9"/>
    </row>
    <row r="21" spans="1:36" ht="30" customHeight="1" x14ac:dyDescent="0.25">
      <c r="A21" s="102" t="s">
        <v>8</v>
      </c>
      <c r="B21" s="1000">
        <f>(B19*AH11/10)</f>
        <v>38669.447430593456</v>
      </c>
      <c r="C21" s="1000"/>
      <c r="D21" s="1000"/>
      <c r="E21" s="1000"/>
      <c r="F21" s="9"/>
      <c r="G21" s="9"/>
      <c r="H21" s="9"/>
      <c r="I21" s="9"/>
      <c r="J21" s="9"/>
      <c r="K21" s="9"/>
      <c r="L21" s="9"/>
      <c r="M21" s="9"/>
      <c r="N21" s="9"/>
      <c r="AD21" s="9"/>
      <c r="AE21" s="9"/>
      <c r="AF21" s="89">
        <f>AJ16</f>
        <v>4047.431355855701</v>
      </c>
      <c r="AG21" s="89">
        <v>7.5999999999999998E-2</v>
      </c>
      <c r="AH21" s="89"/>
      <c r="AI21" s="9"/>
      <c r="AJ21" s="9"/>
    </row>
    <row r="22" spans="1:36" ht="30" customHeight="1" x14ac:dyDescent="0.25">
      <c r="A22" s="102" t="s">
        <v>9</v>
      </c>
      <c r="B22" s="1000"/>
      <c r="C22" s="1000"/>
      <c r="D22" s="1000"/>
      <c r="E22" s="1000"/>
      <c r="F22" s="9"/>
      <c r="G22" s="9"/>
      <c r="H22" s="9"/>
      <c r="I22" s="9"/>
      <c r="J22" s="9"/>
      <c r="K22" s="9"/>
      <c r="L22" s="9"/>
      <c r="M22" s="9"/>
      <c r="N22" s="9"/>
      <c r="AD22" s="9"/>
      <c r="AE22" s="9"/>
      <c r="AF22" s="89">
        <f>AF20+AF21</f>
        <v>50929.760608200217</v>
      </c>
      <c r="AG22" s="90">
        <f>AH22/AF22</f>
        <v>0.24629789278623188</v>
      </c>
      <c r="AH22" s="89">
        <f>(AF20*AG20)+(AF21*AG21)</f>
        <v>12543.892717906952</v>
      </c>
      <c r="AI22" s="9"/>
      <c r="AJ22" s="9"/>
    </row>
    <row r="23" spans="1:36" ht="30" customHeight="1" x14ac:dyDescent="0.25">
      <c r="A23" s="102" t="s">
        <v>301</v>
      </c>
      <c r="B23" s="1016">
        <f>B17/(B21+B22)</f>
        <v>41.893538895472602</v>
      </c>
      <c r="C23" s="1016"/>
      <c r="D23" s="1016"/>
      <c r="E23" s="1016"/>
      <c r="F23" s="9"/>
      <c r="G23" s="9"/>
      <c r="H23" s="9"/>
      <c r="I23" s="9"/>
      <c r="J23" s="9"/>
      <c r="K23" s="9"/>
      <c r="L23" s="9"/>
      <c r="M23" s="9"/>
      <c r="N23" s="9"/>
    </row>
    <row r="24" spans="1:36" ht="30" customHeight="1" x14ac:dyDescent="0.25">
      <c r="A24" s="102" t="s">
        <v>302</v>
      </c>
      <c r="B24" s="1017">
        <f>(B17-B18)/(B21+B22)</f>
        <v>39.954023205867387</v>
      </c>
      <c r="C24" s="1017"/>
      <c r="D24" s="1017"/>
      <c r="E24" s="1017"/>
      <c r="F24" s="9"/>
      <c r="G24" s="9"/>
      <c r="H24" s="9"/>
      <c r="I24" s="9"/>
      <c r="J24" s="9"/>
      <c r="K24" s="9"/>
      <c r="L24" s="9"/>
      <c r="M24" s="9"/>
      <c r="N24" s="9"/>
    </row>
    <row r="25" spans="1:36" ht="30" customHeight="1" x14ac:dyDescent="0.25">
      <c r="A25" s="103" t="s">
        <v>305</v>
      </c>
      <c r="B25" s="1036">
        <f>B19*P13/1000</f>
        <v>112.12941707107488</v>
      </c>
      <c r="C25" s="1036"/>
      <c r="D25" s="1036"/>
      <c r="E25" s="1036"/>
      <c r="F25" s="9"/>
      <c r="G25" s="9"/>
      <c r="H25" s="9"/>
      <c r="I25" s="9"/>
      <c r="J25" s="9"/>
      <c r="K25" s="9"/>
      <c r="L25" s="9"/>
      <c r="M25" s="9"/>
      <c r="N25" s="9"/>
    </row>
    <row r="26" spans="1:36" ht="30" customHeight="1" x14ac:dyDescent="0.25">
      <c r="A26" s="104" t="s">
        <v>303</v>
      </c>
      <c r="B26" s="1058">
        <f>B25/'Objectifs CO2'!C8</f>
        <v>1.0343222298878463E-2</v>
      </c>
      <c r="C26" s="1058"/>
      <c r="D26" s="1058"/>
      <c r="E26" s="1058"/>
      <c r="F26" s="9"/>
      <c r="G26" s="9"/>
      <c r="H26" s="9"/>
      <c r="I26" s="9"/>
      <c r="J26" s="9"/>
      <c r="K26" s="9"/>
      <c r="L26" s="9"/>
      <c r="M26" s="9"/>
      <c r="N26" s="9"/>
    </row>
    <row r="27" spans="1:36" ht="30" customHeight="1" x14ac:dyDescent="0.25">
      <c r="A27" s="104" t="s">
        <v>304</v>
      </c>
      <c r="B27" s="1056">
        <f>B25/'Objectifs CO2'!C4</f>
        <v>5.1716111494392314E-3</v>
      </c>
      <c r="C27" s="1057"/>
      <c r="D27" s="1057"/>
      <c r="E27" s="1057"/>
      <c r="F27" s="9"/>
      <c r="G27" s="9"/>
      <c r="H27" s="9"/>
      <c r="I27" s="9"/>
      <c r="J27" s="9"/>
      <c r="K27" s="9"/>
      <c r="L27" s="9"/>
      <c r="M27" s="9"/>
      <c r="N27" s="9"/>
    </row>
    <row r="28" spans="1:36" ht="30" customHeight="1" x14ac:dyDescent="0.25">
      <c r="A28" s="104" t="s">
        <v>22</v>
      </c>
      <c r="B28" s="999"/>
      <c r="C28" s="999"/>
      <c r="D28" s="999"/>
      <c r="E28" s="999"/>
      <c r="F28" s="9"/>
      <c r="G28" s="9"/>
      <c r="H28" s="9"/>
      <c r="I28" s="9"/>
      <c r="J28" s="9"/>
      <c r="K28" s="9"/>
      <c r="L28" s="9"/>
      <c r="M28" s="9"/>
      <c r="N28" s="9"/>
    </row>
    <row r="29" spans="1:36" ht="30" customHeight="1" x14ac:dyDescent="0.25">
      <c r="A29" s="101" t="s">
        <v>257</v>
      </c>
      <c r="B29" s="999" t="s">
        <v>268</v>
      </c>
      <c r="C29" s="999"/>
      <c r="D29" s="999"/>
      <c r="E29" s="999"/>
      <c r="F29" s="6" t="s">
        <v>264</v>
      </c>
    </row>
    <row r="31" spans="1:36" x14ac:dyDescent="0.25">
      <c r="A31" s="603" t="s">
        <v>1065</v>
      </c>
      <c r="B31" s="1003" t="s">
        <v>675</v>
      </c>
      <c r="C31" s="1003"/>
      <c r="D31" s="1003"/>
      <c r="E31" s="56" t="s">
        <v>676</v>
      </c>
    </row>
    <row r="32" spans="1:36"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7">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B27:E27"/>
    <mergeCell ref="B28:E28"/>
    <mergeCell ref="B19:E19"/>
    <mergeCell ref="B21:E21"/>
    <mergeCell ref="G59:L59"/>
    <mergeCell ref="B60:F60"/>
    <mergeCell ref="G60:L60"/>
    <mergeCell ref="B61:F61"/>
    <mergeCell ref="G61:L61"/>
    <mergeCell ref="G40:I40"/>
    <mergeCell ref="B34:D34"/>
    <mergeCell ref="H34:I34"/>
    <mergeCell ref="B35:D35"/>
    <mergeCell ref="H35:I35"/>
    <mergeCell ref="B36:D36"/>
    <mergeCell ref="B33:D33"/>
    <mergeCell ref="H33:I33"/>
    <mergeCell ref="B31:D31"/>
    <mergeCell ref="B32:D32"/>
    <mergeCell ref="G32:I32"/>
    <mergeCell ref="B42:D42"/>
    <mergeCell ref="B44:D44"/>
    <mergeCell ref="B37:D37"/>
    <mergeCell ref="A47:A51"/>
    <mergeCell ref="B47:F47"/>
    <mergeCell ref="G47:L47"/>
    <mergeCell ref="B48:F48"/>
    <mergeCell ref="G48:L48"/>
    <mergeCell ref="B49:F49"/>
    <mergeCell ref="G49:L49"/>
    <mergeCell ref="B50:F50"/>
    <mergeCell ref="G50:L50"/>
    <mergeCell ref="B51:F51"/>
    <mergeCell ref="G51:L51"/>
    <mergeCell ref="V10:V12"/>
    <mergeCell ref="L13:L14"/>
    <mergeCell ref="G8:G10"/>
    <mergeCell ref="B29:E29"/>
    <mergeCell ref="B26:E26"/>
    <mergeCell ref="B18:E18"/>
    <mergeCell ref="B9:E9"/>
    <mergeCell ref="B16:E16"/>
    <mergeCell ref="B11:E11"/>
    <mergeCell ref="B10:E10"/>
    <mergeCell ref="B17:E17"/>
    <mergeCell ref="B22:E22"/>
    <mergeCell ref="B24:E24"/>
    <mergeCell ref="B25:E25"/>
    <mergeCell ref="B23:E23"/>
    <mergeCell ref="Z5:AB5"/>
    <mergeCell ref="Z6:AA6"/>
    <mergeCell ref="Z8:AA8"/>
    <mergeCell ref="Z9:AA9"/>
    <mergeCell ref="Z10:AA10"/>
    <mergeCell ref="Z16:AA16"/>
    <mergeCell ref="Z11:AA11"/>
    <mergeCell ref="Z12:AA12"/>
    <mergeCell ref="Z13:AA13"/>
    <mergeCell ref="Z14:AA14"/>
    <mergeCell ref="Z15:AA15"/>
    <mergeCell ref="B38:D38"/>
    <mergeCell ref="B39:D39"/>
    <mergeCell ref="B40:D40"/>
    <mergeCell ref="B41:D41"/>
    <mergeCell ref="A1:E1"/>
    <mergeCell ref="B2:E2"/>
    <mergeCell ref="B8:E8"/>
    <mergeCell ref="B12:E12"/>
    <mergeCell ref="B13:E13"/>
    <mergeCell ref="B14:E14"/>
    <mergeCell ref="B15:E15"/>
    <mergeCell ref="B20:E20"/>
    <mergeCell ref="G2:H2"/>
    <mergeCell ref="B3:E3"/>
    <mergeCell ref="G3:H3"/>
    <mergeCell ref="B4:E4"/>
    <mergeCell ref="B5:E5"/>
    <mergeCell ref="B6:E6"/>
    <mergeCell ref="B7:E7"/>
    <mergeCell ref="G6:H6"/>
    <mergeCell ref="G4:H4"/>
    <mergeCell ref="G5:H5"/>
    <mergeCell ref="G7:H7"/>
  </mergeCells>
  <conditionalFormatting sqref="B5">
    <cfRule type="containsText" dxfId="254" priority="1" operator="containsText" text="Terminé">
      <formula>NOT(ISERROR(SEARCH("Terminé",B5)))</formula>
    </cfRule>
    <cfRule type="containsText" dxfId="253" priority="2" operator="containsText" text="En cours">
      <formula>NOT(ISERROR(SEARCH("En cours",B5)))</formula>
    </cfRule>
    <cfRule type="containsText" dxfId="25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15" zoomScaleNormal="100" workbookViewId="0">
      <selection activeCell="B8" sqref="B8:E8"/>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2" width="11.42578125" style="1"/>
    <col min="13" max="13" width="13.28515625" style="1" customWidth="1"/>
    <col min="14"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485</v>
      </c>
      <c r="C2" s="1068"/>
      <c r="D2" s="1068"/>
      <c r="E2" s="1068"/>
      <c r="F2" s="7"/>
      <c r="G2" s="986" t="s">
        <v>751</v>
      </c>
      <c r="H2" s="986"/>
    </row>
    <row r="3" spans="1:28" ht="19.5" customHeight="1" x14ac:dyDescent="0.25">
      <c r="A3" s="409" t="s">
        <v>743</v>
      </c>
      <c r="B3" s="987" t="s">
        <v>457</v>
      </c>
      <c r="C3" s="987"/>
      <c r="D3" s="987"/>
      <c r="E3" s="987"/>
      <c r="F3" s="7"/>
      <c r="G3" s="986" t="s">
        <v>752</v>
      </c>
      <c r="H3" s="986"/>
      <c r="I3" s="6"/>
      <c r="J3" s="6"/>
    </row>
    <row r="4" spans="1:28" ht="19.5" customHeight="1" x14ac:dyDescent="0.25">
      <c r="A4" s="403" t="s">
        <v>292</v>
      </c>
      <c r="B4" s="996" t="s">
        <v>31</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1295</v>
      </c>
      <c r="C8" s="967"/>
      <c r="D8" s="967"/>
      <c r="E8" s="967"/>
      <c r="G8" s="997" t="s">
        <v>936</v>
      </c>
      <c r="H8" s="6"/>
      <c r="I8" s="6"/>
      <c r="J8" s="6"/>
      <c r="K8" s="6"/>
      <c r="L8" s="6"/>
      <c r="M8" s="6"/>
      <c r="Z8" s="1028" t="s">
        <v>611</v>
      </c>
      <c r="AA8" s="1029"/>
      <c r="AB8" s="357">
        <v>0.26819999999999999</v>
      </c>
    </row>
    <row r="9" spans="1:28" ht="24" customHeight="1" x14ac:dyDescent="0.25">
      <c r="A9" s="98" t="s">
        <v>0</v>
      </c>
      <c r="B9" s="967" t="s">
        <v>1091</v>
      </c>
      <c r="C9" s="967"/>
      <c r="D9" s="967"/>
      <c r="E9" s="967"/>
      <c r="G9" s="997"/>
      <c r="H9" s="6"/>
      <c r="I9" s="6"/>
      <c r="J9" s="6"/>
      <c r="K9" s="6"/>
      <c r="L9" s="6"/>
      <c r="M9" s="6"/>
      <c r="Z9" s="1028" t="s">
        <v>612</v>
      </c>
      <c r="AA9" s="1029"/>
      <c r="AB9" s="357">
        <v>3.1300000000000001E-2</v>
      </c>
    </row>
    <row r="10" spans="1:28" ht="35.25" customHeight="1" x14ac:dyDescent="0.25">
      <c r="A10" s="98" t="s">
        <v>2</v>
      </c>
      <c r="B10" s="1034" t="s">
        <v>85</v>
      </c>
      <c r="C10" s="1035"/>
      <c r="D10" s="1035"/>
      <c r="E10" s="1035"/>
      <c r="G10" s="997"/>
      <c r="H10" s="6"/>
      <c r="I10" s="6"/>
      <c r="J10" s="6"/>
      <c r="K10" s="6"/>
      <c r="L10" s="6"/>
      <c r="M10" s="7"/>
      <c r="Z10" s="1028"/>
      <c r="AA10" s="1029"/>
      <c r="AB10" s="357"/>
    </row>
    <row r="11" spans="1:28" ht="35.25" customHeight="1" x14ac:dyDescent="0.25">
      <c r="A11" s="98" t="s">
        <v>29</v>
      </c>
      <c r="B11" s="1034" t="s">
        <v>449</v>
      </c>
      <c r="C11" s="1035"/>
      <c r="D11" s="1035"/>
      <c r="E11" s="1035"/>
      <c r="G11" s="254">
        <f>G14</f>
        <v>5000</v>
      </c>
      <c r="H11" s="131" t="s">
        <v>541</v>
      </c>
      <c r="I11" s="6"/>
      <c r="J11" s="6"/>
      <c r="K11" s="6"/>
      <c r="L11" s="6"/>
      <c r="Z11" s="1028" t="s">
        <v>613</v>
      </c>
      <c r="AA11" s="1029"/>
      <c r="AB11" s="357">
        <v>0.26819999999999999</v>
      </c>
    </row>
    <row r="12" spans="1:28" ht="30" customHeight="1" x14ac:dyDescent="0.25">
      <c r="A12" s="98" t="s">
        <v>14</v>
      </c>
      <c r="B12" s="1010" t="s">
        <v>607</v>
      </c>
      <c r="C12" s="1010"/>
      <c r="D12" s="1010"/>
      <c r="E12" s="1010"/>
      <c r="Z12" s="1028" t="s">
        <v>614</v>
      </c>
      <c r="AA12" s="1029"/>
      <c r="AB12" s="357">
        <v>1.18E-2</v>
      </c>
    </row>
    <row r="13" spans="1:28" ht="30" customHeight="1" x14ac:dyDescent="0.25">
      <c r="A13" s="98" t="s">
        <v>3</v>
      </c>
      <c r="B13" s="1010"/>
      <c r="C13" s="1010"/>
      <c r="D13" s="1010"/>
      <c r="E13" s="1010"/>
      <c r="G13" s="59" t="s">
        <v>158</v>
      </c>
      <c r="H13" s="59" t="s">
        <v>156</v>
      </c>
      <c r="I13" s="60" t="s">
        <v>159</v>
      </c>
      <c r="J13" s="59" t="s">
        <v>120</v>
      </c>
      <c r="K13" s="59" t="s">
        <v>160</v>
      </c>
      <c r="L13" s="60" t="s">
        <v>161</v>
      </c>
      <c r="M13" s="59" t="s">
        <v>162</v>
      </c>
      <c r="Z13" s="1028" t="s">
        <v>615</v>
      </c>
      <c r="AA13" s="1029"/>
      <c r="AB13" s="358">
        <f>AB15/0.55</f>
        <v>0.50363636363636366</v>
      </c>
    </row>
    <row r="14" spans="1:28" ht="30" customHeight="1" x14ac:dyDescent="0.25">
      <c r="A14" s="98" t="s">
        <v>15</v>
      </c>
      <c r="B14" s="1010"/>
      <c r="C14" s="1010"/>
      <c r="D14" s="1010"/>
      <c r="E14" s="1010"/>
      <c r="G14" s="61">
        <v>5000</v>
      </c>
      <c r="H14" s="61">
        <v>0.3</v>
      </c>
      <c r="I14" s="62">
        <v>60</v>
      </c>
      <c r="J14" s="61">
        <v>0.2</v>
      </c>
      <c r="K14" s="61">
        <v>2</v>
      </c>
      <c r="L14" s="62">
        <f>AB15</f>
        <v>0.27700000000000002</v>
      </c>
      <c r="M14" s="61">
        <v>7</v>
      </c>
      <c r="Z14" s="1028" t="s">
        <v>616</v>
      </c>
      <c r="AA14" s="1029"/>
      <c r="AB14" s="357">
        <v>0.26819999999999999</v>
      </c>
    </row>
    <row r="15" spans="1:28" ht="30" customHeight="1" x14ac:dyDescent="0.25">
      <c r="A15" s="98" t="s">
        <v>4</v>
      </c>
      <c r="B15" s="1010">
        <v>2015</v>
      </c>
      <c r="C15" s="1010"/>
      <c r="D15" s="1010"/>
      <c r="E15" s="1010"/>
      <c r="F15" s="6"/>
      <c r="G15" s="6"/>
      <c r="H15" s="6"/>
      <c r="I15" s="6"/>
      <c r="Z15" s="1028" t="s">
        <v>578</v>
      </c>
      <c r="AA15" s="1029"/>
      <c r="AB15" s="357">
        <v>0.27700000000000002</v>
      </c>
    </row>
    <row r="16" spans="1:28" ht="30" customHeight="1" x14ac:dyDescent="0.25">
      <c r="A16" s="98" t="s">
        <v>5</v>
      </c>
      <c r="B16" s="1010">
        <v>2030</v>
      </c>
      <c r="C16" s="1010"/>
      <c r="D16" s="1010"/>
      <c r="E16" s="1010"/>
      <c r="F16" s="6"/>
      <c r="G16" s="6"/>
      <c r="H16" s="6"/>
      <c r="I16" s="6"/>
      <c r="Z16" s="1028" t="s">
        <v>579</v>
      </c>
      <c r="AA16" s="1029"/>
      <c r="AB16" s="357">
        <v>0.20269999999999999</v>
      </c>
    </row>
    <row r="17" spans="1:9" ht="30" customHeight="1" x14ac:dyDescent="0.25">
      <c r="A17" s="98" t="s">
        <v>6</v>
      </c>
      <c r="B17" s="1012">
        <f>M14*G14</f>
        <v>35000</v>
      </c>
      <c r="C17" s="1012"/>
      <c r="D17" s="1012"/>
      <c r="E17" s="1012"/>
      <c r="F17" s="6"/>
      <c r="G17" s="6"/>
      <c r="H17" s="6"/>
      <c r="I17" s="6"/>
    </row>
    <row r="18" spans="1:9" ht="30" customHeight="1" x14ac:dyDescent="0.25">
      <c r="A18" s="98" t="s">
        <v>7</v>
      </c>
      <c r="B18" s="1012">
        <v>0</v>
      </c>
      <c r="C18" s="1012"/>
      <c r="D18" s="1012"/>
      <c r="E18" s="1012"/>
      <c r="F18" s="6"/>
      <c r="G18" s="6"/>
      <c r="H18" s="6"/>
      <c r="I18" s="6"/>
    </row>
    <row r="19" spans="1:9" ht="30" customHeight="1" x14ac:dyDescent="0.25">
      <c r="A19" s="99" t="s">
        <v>307</v>
      </c>
      <c r="B19" s="1039">
        <f>G14*I14*H14*365*K14/1000</f>
        <v>65700</v>
      </c>
      <c r="C19" s="1040"/>
      <c r="D19" s="1040"/>
      <c r="E19" s="1040"/>
      <c r="F19" s="6"/>
      <c r="G19" s="6"/>
      <c r="H19" s="6"/>
      <c r="I19" s="6"/>
    </row>
    <row r="20" spans="1:9" s="6" customFormat="1" ht="30" customHeight="1" x14ac:dyDescent="0.25">
      <c r="A20" s="96" t="s">
        <v>306</v>
      </c>
      <c r="B20" s="1041">
        <f>L14*H25</f>
        <v>0</v>
      </c>
      <c r="C20" s="1042"/>
      <c r="D20" s="1042"/>
      <c r="E20" s="1042"/>
    </row>
    <row r="21" spans="1:9" ht="30" customHeight="1" x14ac:dyDescent="0.25">
      <c r="A21" s="98" t="s">
        <v>8</v>
      </c>
      <c r="B21" s="1000">
        <f>B19*J14</f>
        <v>13140</v>
      </c>
      <c r="C21" s="1000"/>
      <c r="D21" s="1000"/>
      <c r="E21" s="1000"/>
      <c r="F21" s="6"/>
      <c r="G21" s="6"/>
      <c r="H21" s="6"/>
      <c r="I21" s="6"/>
    </row>
    <row r="22" spans="1:9" ht="30" customHeight="1" x14ac:dyDescent="0.25">
      <c r="A22" s="98" t="s">
        <v>9</v>
      </c>
      <c r="B22" s="1000"/>
      <c r="C22" s="1000"/>
      <c r="D22" s="1000"/>
      <c r="E22" s="1000"/>
      <c r="F22" s="6"/>
      <c r="G22" s="6"/>
      <c r="H22" s="6"/>
      <c r="I22" s="6"/>
    </row>
    <row r="23" spans="1:9" ht="30" customHeight="1" x14ac:dyDescent="0.25">
      <c r="A23" s="98" t="s">
        <v>301</v>
      </c>
      <c r="B23" s="1016">
        <f>B17/(B21+B22)</f>
        <v>2.6636225266362255</v>
      </c>
      <c r="C23" s="1016"/>
      <c r="D23" s="1016"/>
      <c r="E23" s="1016"/>
      <c r="F23" s="6"/>
      <c r="G23" s="6"/>
      <c r="H23" s="6"/>
      <c r="I23" s="6"/>
    </row>
    <row r="24" spans="1:9" ht="30" customHeight="1" x14ac:dyDescent="0.25">
      <c r="A24" s="98" t="s">
        <v>302</v>
      </c>
      <c r="B24" s="1017">
        <f>(B17-B18)/(B21+B22)</f>
        <v>2.6636225266362255</v>
      </c>
      <c r="C24" s="1017"/>
      <c r="D24" s="1017"/>
      <c r="E24" s="1017"/>
      <c r="F24" s="6"/>
      <c r="G24" s="6"/>
      <c r="H24" s="6"/>
      <c r="I24" s="6"/>
    </row>
    <row r="25" spans="1:9" ht="30" customHeight="1" x14ac:dyDescent="0.25">
      <c r="A25" s="100" t="s">
        <v>305</v>
      </c>
      <c r="B25" s="1070">
        <f>B19/1000*L14</f>
        <v>18.198900000000002</v>
      </c>
      <c r="C25" s="1070"/>
      <c r="D25" s="1070"/>
      <c r="E25" s="1070"/>
      <c r="F25" s="6"/>
      <c r="G25" s="6"/>
      <c r="H25" s="6"/>
      <c r="I25" s="6"/>
    </row>
    <row r="26" spans="1:9" ht="30" customHeight="1" x14ac:dyDescent="0.25">
      <c r="A26" s="101" t="s">
        <v>303</v>
      </c>
      <c r="B26" s="1058">
        <f>B25/'Objectifs CO2'!C8</f>
        <v>1.6787322471831238E-3</v>
      </c>
      <c r="C26" s="1058"/>
      <c r="D26" s="1058"/>
      <c r="E26" s="1058"/>
      <c r="F26" s="6"/>
      <c r="G26" s="6"/>
      <c r="H26" s="6"/>
      <c r="I26" s="6"/>
    </row>
    <row r="27" spans="1:9" ht="30" customHeight="1" x14ac:dyDescent="0.25">
      <c r="A27" s="101" t="s">
        <v>304</v>
      </c>
      <c r="B27" s="1056">
        <f>B25/'Objectifs CO2'!C4</f>
        <v>8.3936612359156192E-4</v>
      </c>
      <c r="C27" s="1057"/>
      <c r="D27" s="1057"/>
      <c r="E27" s="1057"/>
      <c r="F27" s="6"/>
      <c r="G27" s="6"/>
      <c r="H27" s="6"/>
      <c r="I27" s="6"/>
    </row>
    <row r="28" spans="1:9" ht="30" customHeight="1" x14ac:dyDescent="0.25">
      <c r="A28" s="101" t="s">
        <v>22</v>
      </c>
      <c r="B28" s="999" t="s">
        <v>10</v>
      </c>
      <c r="C28" s="999"/>
      <c r="D28" s="999"/>
      <c r="E28" s="999"/>
      <c r="F28" s="6"/>
      <c r="G28" s="6"/>
      <c r="H28" s="6"/>
      <c r="I28" s="6"/>
    </row>
    <row r="29" spans="1:9" ht="30" customHeight="1" x14ac:dyDescent="0.25">
      <c r="A29" s="101" t="s">
        <v>257</v>
      </c>
      <c r="B29" s="999" t="s">
        <v>269</v>
      </c>
      <c r="C29" s="999"/>
      <c r="D29" s="999"/>
      <c r="E29" s="999"/>
    </row>
    <row r="31" spans="1:9" x14ac:dyDescent="0.25">
      <c r="A31" s="603" t="s">
        <v>1065</v>
      </c>
      <c r="B31" s="1003" t="s">
        <v>675</v>
      </c>
      <c r="C31" s="1003"/>
      <c r="D31" s="1003"/>
      <c r="E31" s="56" t="s">
        <v>676</v>
      </c>
      <c r="F31" s="6"/>
      <c r="G31" s="6"/>
      <c r="H31" s="6"/>
      <c r="I31" s="6"/>
    </row>
    <row r="32" spans="1:9"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7:E27"/>
    <mergeCell ref="B28:E28"/>
    <mergeCell ref="B19:E19"/>
    <mergeCell ref="B21:E21"/>
    <mergeCell ref="B22:E22"/>
    <mergeCell ref="B24:E24"/>
    <mergeCell ref="B25:E25"/>
    <mergeCell ref="B23:E23"/>
    <mergeCell ref="B20:E20"/>
    <mergeCell ref="G8:G10"/>
    <mergeCell ref="Z5:AB5"/>
    <mergeCell ref="Z6:AA6"/>
    <mergeCell ref="Z8:AA8"/>
    <mergeCell ref="Z9:AA9"/>
    <mergeCell ref="Z10:AA10"/>
    <mergeCell ref="G7:H7"/>
    <mergeCell ref="Z16:AA16"/>
    <mergeCell ref="Z11:AA11"/>
    <mergeCell ref="Z12:AA12"/>
    <mergeCell ref="Z13:AA13"/>
    <mergeCell ref="Z14:AA14"/>
    <mergeCell ref="Z15:AA15"/>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1:D31"/>
    <mergeCell ref="B32:D32"/>
    <mergeCell ref="B18:E18"/>
    <mergeCell ref="B8:E8"/>
    <mergeCell ref="B9:E9"/>
    <mergeCell ref="B16:E16"/>
    <mergeCell ref="B11:E11"/>
    <mergeCell ref="B12:E12"/>
    <mergeCell ref="B13:E13"/>
    <mergeCell ref="B14:E14"/>
    <mergeCell ref="B15:E15"/>
    <mergeCell ref="B10:E10"/>
    <mergeCell ref="B17:E17"/>
    <mergeCell ref="B29:E29"/>
    <mergeCell ref="B26:E26"/>
    <mergeCell ref="G2:H2"/>
    <mergeCell ref="B3:E3"/>
    <mergeCell ref="G3:H3"/>
    <mergeCell ref="B4:E4"/>
    <mergeCell ref="B5:E5"/>
    <mergeCell ref="B6:E6"/>
    <mergeCell ref="B7:E7"/>
    <mergeCell ref="G6:H6"/>
    <mergeCell ref="G4:H4"/>
    <mergeCell ref="G5:H5"/>
  </mergeCells>
  <conditionalFormatting sqref="B5">
    <cfRule type="containsText" dxfId="251" priority="1" operator="containsText" text="Terminé">
      <formula>NOT(ISERROR(SEARCH("Terminé",B5)))</formula>
    </cfRule>
    <cfRule type="containsText" dxfId="250" priority="2" operator="containsText" text="En cours">
      <formula>NOT(ISERROR(SEARCH("En cours",B5)))</formula>
    </cfRule>
    <cfRule type="containsText" dxfId="24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3" workbookViewId="0">
      <selection activeCell="B8" sqref="B8:E8"/>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1406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82</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thickBot="1" x14ac:dyDescent="0.3">
      <c r="A7" s="253" t="s">
        <v>475</v>
      </c>
      <c r="B7" s="994" t="s">
        <v>608</v>
      </c>
      <c r="C7" s="994"/>
      <c r="D7" s="994"/>
      <c r="E7" s="994"/>
      <c r="F7" s="7"/>
      <c r="G7" s="995" t="s">
        <v>756</v>
      </c>
      <c r="H7" s="995"/>
      <c r="I7" s="400"/>
      <c r="J7" s="400"/>
      <c r="Z7" s="401"/>
      <c r="AA7" s="402"/>
      <c r="AB7" s="357"/>
    </row>
    <row r="8" spans="1:28" ht="23.25" customHeight="1" thickBot="1" x14ac:dyDescent="0.3">
      <c r="A8" s="109" t="s">
        <v>1</v>
      </c>
      <c r="B8" s="967" t="s">
        <v>1295</v>
      </c>
      <c r="C8" s="967"/>
      <c r="D8" s="967"/>
      <c r="E8" s="967"/>
      <c r="G8" s="997" t="s">
        <v>936</v>
      </c>
      <c r="Z8" s="1028" t="s">
        <v>611</v>
      </c>
      <c r="AA8" s="1029"/>
      <c r="AB8" s="357">
        <v>0.26819999999999999</v>
      </c>
    </row>
    <row r="9" spans="1:28" ht="23.25" customHeight="1" thickBot="1" x14ac:dyDescent="0.3">
      <c r="A9" s="109" t="s">
        <v>0</v>
      </c>
      <c r="B9" s="967" t="s">
        <v>1092</v>
      </c>
      <c r="C9" s="967"/>
      <c r="D9" s="967"/>
      <c r="E9" s="967"/>
      <c r="G9" s="997"/>
      <c r="Z9" s="1028" t="s">
        <v>612</v>
      </c>
      <c r="AA9" s="1029"/>
      <c r="AB9" s="357">
        <v>3.1300000000000001E-2</v>
      </c>
    </row>
    <row r="10" spans="1:28" ht="76.5" customHeight="1" x14ac:dyDescent="0.25">
      <c r="A10" s="110" t="s">
        <v>2</v>
      </c>
      <c r="B10" s="1034" t="s">
        <v>445</v>
      </c>
      <c r="C10" s="1035"/>
      <c r="D10" s="1035"/>
      <c r="E10" s="1035"/>
      <c r="G10" s="997"/>
      <c r="M10" s="7"/>
      <c r="Z10" s="1028"/>
      <c r="AA10" s="1029"/>
      <c r="AB10" s="357"/>
    </row>
    <row r="11" spans="1:28" ht="35.25" customHeight="1" x14ac:dyDescent="0.25">
      <c r="A11" s="110" t="s">
        <v>29</v>
      </c>
      <c r="B11" s="1034" t="s">
        <v>447</v>
      </c>
      <c r="C11" s="1035"/>
      <c r="D11" s="1035"/>
      <c r="E11" s="1035"/>
      <c r="G11" s="254">
        <v>3000</v>
      </c>
      <c r="H11" s="131" t="s">
        <v>826</v>
      </c>
      <c r="Z11" s="1028" t="s">
        <v>613</v>
      </c>
      <c r="AA11" s="1029"/>
      <c r="AB11" s="357">
        <v>0.26819999999999999</v>
      </c>
    </row>
    <row r="12" spans="1:28" ht="30" customHeight="1" x14ac:dyDescent="0.25">
      <c r="A12" s="115" t="s">
        <v>14</v>
      </c>
      <c r="B12" s="1010" t="s">
        <v>607</v>
      </c>
      <c r="C12" s="1010"/>
      <c r="D12" s="1010"/>
      <c r="E12" s="1010"/>
      <c r="Z12" s="1028" t="s">
        <v>614</v>
      </c>
      <c r="AA12" s="1029"/>
      <c r="AB12" s="357">
        <v>1.18E-2</v>
      </c>
    </row>
    <row r="13" spans="1:28" ht="30" customHeight="1" x14ac:dyDescent="0.25">
      <c r="A13" s="115" t="s">
        <v>3</v>
      </c>
      <c r="B13" s="1010"/>
      <c r="C13" s="1010"/>
      <c r="D13" s="1010"/>
      <c r="E13" s="1010"/>
      <c r="G13" s="59" t="s">
        <v>542</v>
      </c>
      <c r="H13" s="59" t="s">
        <v>446</v>
      </c>
      <c r="I13" s="59" t="s">
        <v>120</v>
      </c>
      <c r="J13" s="59" t="s">
        <v>160</v>
      </c>
      <c r="K13" s="60" t="s">
        <v>161</v>
      </c>
      <c r="L13" s="59" t="s">
        <v>162</v>
      </c>
      <c r="Z13" s="1028" t="s">
        <v>615</v>
      </c>
      <c r="AA13" s="1029"/>
      <c r="AB13" s="358">
        <f>AB15/0.55</f>
        <v>0.50363636363636366</v>
      </c>
    </row>
    <row r="14" spans="1:28" ht="30" customHeight="1" x14ac:dyDescent="0.25">
      <c r="A14" s="115" t="s">
        <v>15</v>
      </c>
      <c r="B14" s="1010"/>
      <c r="C14" s="1010"/>
      <c r="D14" s="1010"/>
      <c r="E14" s="1010"/>
      <c r="G14" s="177">
        <f>+G11</f>
        <v>3000</v>
      </c>
      <c r="H14" s="177">
        <v>300</v>
      </c>
      <c r="I14" s="177">
        <v>0.25</v>
      </c>
      <c r="J14" s="177">
        <v>2</v>
      </c>
      <c r="K14" s="178">
        <f>AB15</f>
        <v>0.27700000000000002</v>
      </c>
      <c r="L14" s="177">
        <v>450</v>
      </c>
      <c r="Z14" s="1028" t="s">
        <v>616</v>
      </c>
      <c r="AA14" s="1029"/>
      <c r="AB14" s="357">
        <v>0.26819999999999999</v>
      </c>
    </row>
    <row r="15" spans="1:28" ht="30" customHeight="1" x14ac:dyDescent="0.25">
      <c r="A15" s="115" t="s">
        <v>4</v>
      </c>
      <c r="B15" s="1010">
        <v>2015</v>
      </c>
      <c r="C15" s="1010"/>
      <c r="D15" s="1010"/>
      <c r="E15" s="1010"/>
      <c r="Z15" s="1028" t="s">
        <v>578</v>
      </c>
      <c r="AA15" s="1029"/>
      <c r="AB15" s="357">
        <v>0.27700000000000002</v>
      </c>
    </row>
    <row r="16" spans="1:28" ht="30" customHeight="1" x14ac:dyDescent="0.25">
      <c r="A16" s="115" t="s">
        <v>5</v>
      </c>
      <c r="B16" s="1010">
        <v>2030</v>
      </c>
      <c r="C16" s="1010"/>
      <c r="D16" s="1010"/>
      <c r="E16" s="1010"/>
      <c r="Z16" s="1028" t="s">
        <v>579</v>
      </c>
      <c r="AA16" s="1029"/>
      <c r="AB16" s="357">
        <v>0.20269999999999999</v>
      </c>
    </row>
    <row r="17" spans="1:9" ht="30" customHeight="1" x14ac:dyDescent="0.25">
      <c r="A17" s="115" t="s">
        <v>6</v>
      </c>
      <c r="B17" s="1012">
        <f>L14*G14</f>
        <v>1350000</v>
      </c>
      <c r="C17" s="1012"/>
      <c r="D17" s="1012"/>
      <c r="E17" s="1012"/>
    </row>
    <row r="18" spans="1:9" ht="30" customHeight="1" x14ac:dyDescent="0.25">
      <c r="A18" s="115" t="s">
        <v>7</v>
      </c>
      <c r="B18" s="1012">
        <v>0</v>
      </c>
      <c r="C18" s="1012"/>
      <c r="D18" s="1012"/>
      <c r="E18" s="1012"/>
    </row>
    <row r="19" spans="1:9" ht="30" customHeight="1" x14ac:dyDescent="0.25">
      <c r="A19" s="179" t="s">
        <v>307</v>
      </c>
      <c r="B19" s="1083">
        <f>G14*H14</f>
        <v>900000</v>
      </c>
      <c r="C19" s="1084"/>
      <c r="D19" s="1084"/>
      <c r="E19" s="1084"/>
    </row>
    <row r="20" spans="1:9" ht="30" customHeight="1" x14ac:dyDescent="0.25">
      <c r="A20" s="180" t="s">
        <v>306</v>
      </c>
      <c r="B20" s="1081">
        <f>K14*H25</f>
        <v>0</v>
      </c>
      <c r="C20" s="1082"/>
      <c r="D20" s="1082"/>
      <c r="E20" s="1082"/>
    </row>
    <row r="21" spans="1:9" ht="30" customHeight="1" x14ac:dyDescent="0.25">
      <c r="A21" s="115" t="s">
        <v>8</v>
      </c>
      <c r="B21" s="1000">
        <f>B19*I14</f>
        <v>225000</v>
      </c>
      <c r="C21" s="1000"/>
      <c r="D21" s="1000"/>
      <c r="E21" s="1000"/>
    </row>
    <row r="22" spans="1:9" ht="30" customHeight="1" x14ac:dyDescent="0.25">
      <c r="A22" s="115" t="s">
        <v>9</v>
      </c>
      <c r="B22" s="1000"/>
      <c r="C22" s="1000"/>
      <c r="D22" s="1000"/>
      <c r="E22" s="1000"/>
    </row>
    <row r="23" spans="1:9" ht="30" customHeight="1" x14ac:dyDescent="0.25">
      <c r="A23" s="115" t="s">
        <v>301</v>
      </c>
      <c r="B23" s="1016">
        <f>B17/(B21+B22)</f>
        <v>6</v>
      </c>
      <c r="C23" s="1016"/>
      <c r="D23" s="1016"/>
      <c r="E23" s="1016"/>
    </row>
    <row r="24" spans="1:9" ht="30" customHeight="1" x14ac:dyDescent="0.25">
      <c r="A24" s="115" t="s">
        <v>330</v>
      </c>
      <c r="B24" s="1079">
        <f>(B17-B18)/(B21+B22)</f>
        <v>6</v>
      </c>
      <c r="C24" s="1079"/>
      <c r="D24" s="1079"/>
      <c r="E24" s="1079"/>
    </row>
    <row r="25" spans="1:9" ht="30" customHeight="1" x14ac:dyDescent="0.25">
      <c r="A25" s="181" t="s">
        <v>305</v>
      </c>
      <c r="B25" s="1080">
        <f>B19/1000*K14</f>
        <v>249.3</v>
      </c>
      <c r="C25" s="1080"/>
      <c r="D25" s="1080"/>
      <c r="E25" s="1080"/>
    </row>
    <row r="26" spans="1:9" ht="30" customHeight="1" x14ac:dyDescent="0.25">
      <c r="A26" s="121" t="s">
        <v>303</v>
      </c>
      <c r="B26" s="1058">
        <f>B25/'[1]Objectifs CO2'!C7</f>
        <v>0.17555979551598172</v>
      </c>
      <c r="C26" s="1058"/>
      <c r="D26" s="1058"/>
      <c r="E26" s="1058"/>
    </row>
    <row r="27" spans="1:9" ht="30" customHeight="1" x14ac:dyDescent="0.25">
      <c r="A27" s="101" t="s">
        <v>304</v>
      </c>
      <c r="B27" s="1058">
        <f>B25/'[1]Objectifs CO2'!C4</f>
        <v>5.2667938654794508E-2</v>
      </c>
      <c r="C27" s="1058"/>
      <c r="D27" s="1058"/>
      <c r="E27" s="1058"/>
    </row>
    <row r="28" spans="1:9" ht="30" customHeight="1" x14ac:dyDescent="0.25">
      <c r="A28" s="101" t="s">
        <v>22</v>
      </c>
      <c r="B28" s="999" t="s">
        <v>10</v>
      </c>
      <c r="C28" s="999"/>
      <c r="D28" s="999"/>
      <c r="E28" s="999"/>
    </row>
    <row r="29" spans="1:9" ht="30" customHeight="1" x14ac:dyDescent="0.25">
      <c r="A29" s="101" t="s">
        <v>257</v>
      </c>
      <c r="B29" s="999" t="s">
        <v>269</v>
      </c>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0:E20"/>
    <mergeCell ref="B9:E9"/>
    <mergeCell ref="B10:E10"/>
    <mergeCell ref="B11:E11"/>
    <mergeCell ref="B12:E12"/>
    <mergeCell ref="B13:E13"/>
    <mergeCell ref="B19:E19"/>
    <mergeCell ref="B17:E17"/>
    <mergeCell ref="B18:E18"/>
    <mergeCell ref="B16:E16"/>
    <mergeCell ref="B27:E27"/>
    <mergeCell ref="B28:E28"/>
    <mergeCell ref="B29:E29"/>
    <mergeCell ref="B21:E21"/>
    <mergeCell ref="B22:E22"/>
    <mergeCell ref="B23:E23"/>
    <mergeCell ref="B24:E24"/>
    <mergeCell ref="B25:E25"/>
    <mergeCell ref="B26:E26"/>
    <mergeCell ref="Z5:AB5"/>
    <mergeCell ref="Z6:AA6"/>
    <mergeCell ref="Z8:AA8"/>
    <mergeCell ref="Z9:AA9"/>
    <mergeCell ref="Z10:AA10"/>
    <mergeCell ref="Z16:AA16"/>
    <mergeCell ref="Z11:AA11"/>
    <mergeCell ref="Z12:AA12"/>
    <mergeCell ref="Z13:AA13"/>
    <mergeCell ref="Z14:AA14"/>
    <mergeCell ref="Z15:AA15"/>
    <mergeCell ref="B42:D42"/>
    <mergeCell ref="B44:D44"/>
    <mergeCell ref="B37:D37"/>
    <mergeCell ref="B38:D38"/>
    <mergeCell ref="B39:D39"/>
    <mergeCell ref="B40:D40"/>
    <mergeCell ref="B41:D41"/>
    <mergeCell ref="B7:E7"/>
    <mergeCell ref="G7:H7"/>
    <mergeCell ref="B31:D31"/>
    <mergeCell ref="B32:D32"/>
    <mergeCell ref="G32:I32"/>
    <mergeCell ref="B33:D33"/>
    <mergeCell ref="H33:I33"/>
    <mergeCell ref="G40:I40"/>
    <mergeCell ref="B34:D34"/>
    <mergeCell ref="H34:I34"/>
    <mergeCell ref="B35:D35"/>
    <mergeCell ref="H35:I35"/>
    <mergeCell ref="B36:D36"/>
    <mergeCell ref="B8:E8"/>
    <mergeCell ref="G8:G10"/>
    <mergeCell ref="B14:E14"/>
    <mergeCell ref="B15:E15"/>
    <mergeCell ref="A1:E1"/>
    <mergeCell ref="B2:E2"/>
    <mergeCell ref="G2:H2"/>
    <mergeCell ref="B3:E3"/>
    <mergeCell ref="G3:H3"/>
    <mergeCell ref="G4:H4"/>
    <mergeCell ref="G5:H5"/>
    <mergeCell ref="G6:H6"/>
    <mergeCell ref="B4:E4"/>
    <mergeCell ref="B5:E5"/>
    <mergeCell ref="B6:E6"/>
  </mergeCells>
  <conditionalFormatting sqref="B5">
    <cfRule type="containsText" dxfId="248" priority="1" operator="containsText" text="Terminé">
      <formula>NOT(ISERROR(SEARCH("Terminé",B5)))</formula>
    </cfRule>
    <cfRule type="containsText" dxfId="247" priority="2" operator="containsText" text="En cours">
      <formula>NOT(ISERROR(SEARCH("En cours",B5)))</formula>
    </cfRule>
    <cfRule type="containsText" dxfId="24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20" zoomScaleNormal="100" workbookViewId="0">
      <selection activeCell="B8" sqref="B8:E8"/>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2" width="11.42578125" style="1"/>
    <col min="13" max="13" width="14" style="1" customWidth="1"/>
    <col min="14" max="16384" width="11.42578125" style="1"/>
  </cols>
  <sheetData>
    <row r="1" spans="1:28" ht="26.25" x14ac:dyDescent="0.4">
      <c r="A1" s="1001" t="s">
        <v>937</v>
      </c>
      <c r="B1" s="1001"/>
      <c r="C1" s="1001"/>
      <c r="D1" s="1001"/>
      <c r="E1" s="1001"/>
      <c r="F1" s="276"/>
      <c r="G1" s="7"/>
      <c r="H1" s="7"/>
    </row>
    <row r="2" spans="1:28" ht="19.5" customHeight="1" x14ac:dyDescent="0.25">
      <c r="A2" s="415" t="s">
        <v>750</v>
      </c>
      <c r="B2" s="1068" t="s">
        <v>84</v>
      </c>
      <c r="C2" s="1068"/>
      <c r="D2" s="1068"/>
      <c r="E2" s="1068"/>
      <c r="F2" s="7"/>
      <c r="G2" s="986" t="s">
        <v>751</v>
      </c>
      <c r="H2" s="986"/>
    </row>
    <row r="3" spans="1:28" ht="19.5" customHeight="1" x14ac:dyDescent="0.25">
      <c r="A3" s="409" t="s">
        <v>743</v>
      </c>
      <c r="B3" s="987" t="s">
        <v>457</v>
      </c>
      <c r="C3" s="987"/>
      <c r="D3" s="987"/>
      <c r="E3" s="987"/>
      <c r="F3" s="7"/>
      <c r="G3" s="986" t="s">
        <v>752</v>
      </c>
      <c r="H3" s="986"/>
      <c r="I3" s="6"/>
      <c r="J3" s="6"/>
    </row>
    <row r="4" spans="1:28" ht="19.5" customHeight="1" x14ac:dyDescent="0.25">
      <c r="A4" s="403" t="s">
        <v>292</v>
      </c>
      <c r="B4" s="996" t="s">
        <v>31</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1295</v>
      </c>
      <c r="C8" s="967"/>
      <c r="D8" s="967"/>
      <c r="E8" s="967"/>
      <c r="G8" s="997" t="s">
        <v>936</v>
      </c>
      <c r="H8" s="6"/>
      <c r="I8" s="6"/>
      <c r="J8" s="6"/>
      <c r="K8" s="6"/>
      <c r="L8" s="6"/>
      <c r="M8" s="6"/>
      <c r="Z8" s="1028" t="s">
        <v>611</v>
      </c>
      <c r="AA8" s="1029"/>
      <c r="AB8" s="357">
        <v>0.26819999999999999</v>
      </c>
    </row>
    <row r="9" spans="1:28" ht="24" customHeight="1" x14ac:dyDescent="0.25">
      <c r="A9" s="98" t="s">
        <v>0</v>
      </c>
      <c r="B9" s="967" t="s">
        <v>86</v>
      </c>
      <c r="C9" s="967"/>
      <c r="D9" s="967"/>
      <c r="E9" s="967"/>
      <c r="G9" s="997"/>
      <c r="H9" s="6"/>
      <c r="I9" s="6"/>
      <c r="J9" s="6"/>
      <c r="K9" s="6"/>
      <c r="L9" s="6"/>
      <c r="M9" s="6"/>
      <c r="Z9" s="1028" t="s">
        <v>612</v>
      </c>
      <c r="AA9" s="1029"/>
      <c r="AB9" s="357">
        <v>3.1300000000000001E-2</v>
      </c>
    </row>
    <row r="10" spans="1:28" ht="54" customHeight="1" x14ac:dyDescent="0.25">
      <c r="A10" s="98" t="s">
        <v>2</v>
      </c>
      <c r="B10" s="1034" t="s">
        <v>1105</v>
      </c>
      <c r="C10" s="1035"/>
      <c r="D10" s="1035"/>
      <c r="E10" s="1035"/>
      <c r="G10" s="997"/>
      <c r="H10" s="6"/>
      <c r="I10" s="6"/>
      <c r="J10" s="6"/>
      <c r="K10" s="6"/>
      <c r="L10" s="6"/>
      <c r="M10" s="7"/>
      <c r="Z10" s="1028"/>
      <c r="AA10" s="1029"/>
      <c r="AB10" s="357"/>
    </row>
    <row r="11" spans="1:28" ht="54" customHeight="1" x14ac:dyDescent="0.25">
      <c r="A11" s="98" t="s">
        <v>29</v>
      </c>
      <c r="B11" s="1035" t="s">
        <v>87</v>
      </c>
      <c r="C11" s="1035"/>
      <c r="D11" s="1035"/>
      <c r="E11" s="1035"/>
      <c r="G11" s="254">
        <v>200</v>
      </c>
      <c r="H11" s="131" t="s">
        <v>543</v>
      </c>
      <c r="I11" s="6"/>
      <c r="J11" s="6"/>
      <c r="K11" s="6"/>
      <c r="L11" s="6"/>
      <c r="Z11" s="1028" t="s">
        <v>613</v>
      </c>
      <c r="AA11" s="1029"/>
      <c r="AB11" s="357">
        <v>0.26819999999999999</v>
      </c>
    </row>
    <row r="12" spans="1:28" ht="30" customHeight="1" x14ac:dyDescent="0.25">
      <c r="A12" s="98" t="s">
        <v>14</v>
      </c>
      <c r="B12" s="1010" t="s">
        <v>607</v>
      </c>
      <c r="C12" s="1010"/>
      <c r="D12" s="1010"/>
      <c r="E12" s="1010"/>
      <c r="Z12" s="1028" t="s">
        <v>614</v>
      </c>
      <c r="AA12" s="1029"/>
      <c r="AB12" s="357">
        <v>1.18E-2</v>
      </c>
    </row>
    <row r="13" spans="1:28" ht="30" customHeight="1" x14ac:dyDescent="0.25">
      <c r="A13" s="98" t="s">
        <v>3</v>
      </c>
      <c r="B13" s="1010"/>
      <c r="C13" s="1010"/>
      <c r="D13" s="1010"/>
      <c r="E13" s="1010"/>
      <c r="G13" s="255" t="s">
        <v>151</v>
      </c>
      <c r="H13" s="262" t="s">
        <v>255</v>
      </c>
      <c r="I13" s="262" t="s">
        <v>256</v>
      </c>
      <c r="J13" s="257" t="s">
        <v>535</v>
      </c>
      <c r="K13" s="262" t="s">
        <v>254</v>
      </c>
      <c r="L13" s="1078"/>
      <c r="N13" s="59" t="s">
        <v>163</v>
      </c>
      <c r="O13" s="59" t="s">
        <v>164</v>
      </c>
      <c r="P13" s="59" t="s">
        <v>149</v>
      </c>
      <c r="Q13" s="60" t="s">
        <v>150</v>
      </c>
      <c r="R13" s="60" t="s">
        <v>165</v>
      </c>
      <c r="S13" s="60" t="s">
        <v>156</v>
      </c>
      <c r="Z13" s="1028" t="s">
        <v>615</v>
      </c>
      <c r="AA13" s="1029"/>
      <c r="AB13" s="358">
        <f>AB15/0.55</f>
        <v>0.50363636363636366</v>
      </c>
    </row>
    <row r="14" spans="1:28" ht="30" customHeight="1" x14ac:dyDescent="0.25">
      <c r="A14" s="98" t="s">
        <v>15</v>
      </c>
      <c r="B14" s="1010"/>
      <c r="C14" s="1010"/>
      <c r="D14" s="1010"/>
      <c r="E14" s="1010"/>
      <c r="G14" s="252">
        <v>3398</v>
      </c>
      <c r="H14" s="256">
        <f>'Objectifs CO2'!Z32</f>
        <v>46882.329252344512</v>
      </c>
      <c r="I14" s="256">
        <f>'Objectifs CO2'!AA32</f>
        <v>4047.431355855701</v>
      </c>
      <c r="J14" s="259">
        <f>(H14+I14)/G14*1000</f>
        <v>14988.157918834671</v>
      </c>
      <c r="K14" s="259">
        <f>J14*S14</f>
        <v>1498.8157918834672</v>
      </c>
      <c r="L14" s="1078"/>
      <c r="N14" s="59">
        <f>SUM(G11:L11)</f>
        <v>200</v>
      </c>
      <c r="O14" s="68">
        <f>(J14+J16+J18+J20+J22+J24)/3</f>
        <v>4996.0526396115574</v>
      </c>
      <c r="P14" s="59">
        <v>0.7</v>
      </c>
      <c r="Q14" s="60">
        <f>AB8</f>
        <v>0.26819999999999999</v>
      </c>
      <c r="R14" s="60">
        <v>5000</v>
      </c>
      <c r="S14" s="60">
        <v>0.1</v>
      </c>
      <c r="Z14" s="1028" t="s">
        <v>616</v>
      </c>
      <c r="AA14" s="1029"/>
      <c r="AB14" s="357">
        <v>0.26819999999999999</v>
      </c>
    </row>
    <row r="15" spans="1:28" ht="30" customHeight="1" x14ac:dyDescent="0.25">
      <c r="A15" s="98" t="s">
        <v>4</v>
      </c>
      <c r="B15" s="1010">
        <v>2015</v>
      </c>
      <c r="C15" s="1010"/>
      <c r="D15" s="1010"/>
      <c r="E15" s="1010"/>
      <c r="F15" s="6"/>
      <c r="G15" s="6"/>
      <c r="H15" s="6"/>
      <c r="I15" s="6"/>
      <c r="J15" s="6"/>
      <c r="K15" s="6"/>
      <c r="L15" s="6"/>
      <c r="Z15" s="1028" t="s">
        <v>578</v>
      </c>
      <c r="AA15" s="1029"/>
      <c r="AB15" s="357">
        <v>0.27700000000000002</v>
      </c>
    </row>
    <row r="16" spans="1:28" ht="30" customHeight="1" x14ac:dyDescent="0.25">
      <c r="A16" s="98" t="s">
        <v>5</v>
      </c>
      <c r="B16" s="1010">
        <v>2030</v>
      </c>
      <c r="C16" s="1010"/>
      <c r="D16" s="1010"/>
      <c r="E16" s="1010"/>
      <c r="F16" s="6"/>
      <c r="G16" s="6"/>
      <c r="H16" s="6"/>
      <c r="I16" s="6"/>
      <c r="J16" s="6"/>
      <c r="K16" s="6"/>
      <c r="L16" s="6"/>
      <c r="Z16" s="1028" t="s">
        <v>579</v>
      </c>
      <c r="AA16" s="1029"/>
      <c r="AB16" s="357">
        <v>0.20269999999999999</v>
      </c>
    </row>
    <row r="17" spans="1:12" ht="30" customHeight="1" x14ac:dyDescent="0.25">
      <c r="A17" s="98" t="s">
        <v>6</v>
      </c>
      <c r="B17" s="1012">
        <f>N14*R14</f>
        <v>1000000</v>
      </c>
      <c r="C17" s="1012"/>
      <c r="D17" s="1012"/>
      <c r="E17" s="1012"/>
      <c r="F17" s="6"/>
      <c r="G17" s="6"/>
      <c r="H17" s="6"/>
      <c r="I17" s="6"/>
      <c r="J17" s="6"/>
      <c r="K17" s="6"/>
      <c r="L17" s="6"/>
    </row>
    <row r="18" spans="1:12" ht="30" customHeight="1" x14ac:dyDescent="0.25">
      <c r="A18" s="98" t="s">
        <v>7</v>
      </c>
      <c r="B18" s="1012">
        <v>0</v>
      </c>
      <c r="C18" s="1012"/>
      <c r="D18" s="1012"/>
      <c r="E18" s="1012"/>
      <c r="F18" s="6"/>
      <c r="G18" s="6"/>
      <c r="H18" s="6"/>
      <c r="I18" s="6"/>
      <c r="J18" s="6"/>
      <c r="K18" s="6"/>
      <c r="L18" s="6"/>
    </row>
    <row r="19" spans="1:12" ht="30" customHeight="1" x14ac:dyDescent="0.25">
      <c r="A19" s="99" t="s">
        <v>307</v>
      </c>
      <c r="B19" s="1039">
        <f>G11*K14</f>
        <v>299763.15837669343</v>
      </c>
      <c r="C19" s="1040"/>
      <c r="D19" s="1040"/>
      <c r="E19" s="1040"/>
      <c r="F19" s="6"/>
      <c r="G19" s="6"/>
      <c r="H19" s="6"/>
      <c r="I19" s="6"/>
      <c r="J19" s="6"/>
      <c r="K19" s="6"/>
      <c r="L19" s="6"/>
    </row>
    <row r="20" spans="1:12" s="6" customFormat="1" ht="30" customHeight="1" x14ac:dyDescent="0.25">
      <c r="A20" s="96" t="s">
        <v>306</v>
      </c>
      <c r="B20" s="1041"/>
      <c r="C20" s="1042"/>
      <c r="D20" s="1042"/>
      <c r="E20" s="1042"/>
    </row>
    <row r="21" spans="1:12" ht="30" customHeight="1" x14ac:dyDescent="0.25">
      <c r="A21" s="98" t="s">
        <v>8</v>
      </c>
      <c r="B21" s="1012">
        <f>B19/10*P14</f>
        <v>20983.42108636854</v>
      </c>
      <c r="C21" s="1012"/>
      <c r="D21" s="1012"/>
      <c r="E21" s="1012"/>
      <c r="F21" s="6"/>
      <c r="G21" s="6"/>
      <c r="H21" s="6"/>
      <c r="I21" s="6"/>
      <c r="J21" s="6"/>
      <c r="K21" s="6"/>
      <c r="L21" s="6"/>
    </row>
    <row r="22" spans="1:12" ht="30" customHeight="1" x14ac:dyDescent="0.25">
      <c r="A22" s="98" t="s">
        <v>9</v>
      </c>
      <c r="B22" s="1000"/>
      <c r="C22" s="1000"/>
      <c r="D22" s="1000"/>
      <c r="E22" s="1000"/>
      <c r="F22" s="6"/>
      <c r="G22" s="6"/>
      <c r="H22" s="6"/>
      <c r="I22" s="6"/>
      <c r="J22" s="6"/>
      <c r="K22" s="6"/>
      <c r="L22" s="6"/>
    </row>
    <row r="23" spans="1:12" ht="30" customHeight="1" x14ac:dyDescent="0.25">
      <c r="A23" s="98" t="s">
        <v>301</v>
      </c>
      <c r="B23" s="1016">
        <f>B17/(B21+B22)</f>
        <v>47.656671230299523</v>
      </c>
      <c r="C23" s="1016"/>
      <c r="D23" s="1016"/>
      <c r="E23" s="1016"/>
      <c r="F23" s="6"/>
      <c r="G23" s="6"/>
      <c r="H23" s="6"/>
      <c r="I23" s="6"/>
      <c r="J23" s="6"/>
      <c r="K23" s="6"/>
      <c r="L23" s="6"/>
    </row>
    <row r="24" spans="1:12" ht="30" customHeight="1" x14ac:dyDescent="0.25">
      <c r="A24" s="98" t="s">
        <v>302</v>
      </c>
      <c r="B24" s="1017">
        <f>(B17-B18)/(B21+B22)</f>
        <v>47.656671230299523</v>
      </c>
      <c r="C24" s="1017"/>
      <c r="D24" s="1017"/>
      <c r="E24" s="1017"/>
      <c r="F24" s="6"/>
      <c r="G24" s="6"/>
      <c r="H24" s="6"/>
      <c r="I24" s="6"/>
      <c r="J24" s="6"/>
      <c r="K24" s="6"/>
      <c r="L24" s="6"/>
    </row>
    <row r="25" spans="1:12" ht="30" customHeight="1" x14ac:dyDescent="0.25">
      <c r="A25" s="100" t="s">
        <v>305</v>
      </c>
      <c r="B25" s="1070">
        <f>B19/1000*Q14</f>
        <v>80.396479076629177</v>
      </c>
      <c r="C25" s="1070"/>
      <c r="D25" s="1070"/>
      <c r="E25" s="1070"/>
      <c r="F25" s="6"/>
      <c r="G25" s="6"/>
      <c r="H25" s="6"/>
    </row>
    <row r="26" spans="1:12" ht="30" customHeight="1" x14ac:dyDescent="0.25">
      <c r="A26" s="101" t="s">
        <v>303</v>
      </c>
      <c r="B26" s="1058">
        <f>B25/'Objectifs CO2'!C8</f>
        <v>7.4160615194281349E-3</v>
      </c>
      <c r="C26" s="1058"/>
      <c r="D26" s="1058"/>
      <c r="E26" s="1058"/>
      <c r="F26" s="6"/>
      <c r="G26" s="6"/>
      <c r="H26" s="6"/>
    </row>
    <row r="27" spans="1:12" ht="30" customHeight="1" x14ac:dyDescent="0.25">
      <c r="A27" s="101" t="s">
        <v>304</v>
      </c>
      <c r="B27" s="1056">
        <f>B25/'Objectifs CO2'!C4</f>
        <v>3.7080307597140674E-3</v>
      </c>
      <c r="C27" s="1057"/>
      <c r="D27" s="1057"/>
      <c r="E27" s="1057"/>
      <c r="F27" s="6"/>
      <c r="G27" s="6"/>
      <c r="H27" s="6"/>
    </row>
    <row r="28" spans="1:12" ht="30" customHeight="1" x14ac:dyDescent="0.25">
      <c r="A28" s="101" t="s">
        <v>22</v>
      </c>
      <c r="B28" s="999" t="s">
        <v>10</v>
      </c>
      <c r="C28" s="999"/>
      <c r="D28" s="999"/>
      <c r="E28" s="999"/>
      <c r="F28" s="6"/>
      <c r="G28" s="6"/>
      <c r="H28" s="6"/>
    </row>
    <row r="29" spans="1:12" ht="30" customHeight="1" x14ac:dyDescent="0.25">
      <c r="A29" s="101" t="s">
        <v>257</v>
      </c>
      <c r="B29" s="999" t="s">
        <v>270</v>
      </c>
      <c r="C29" s="999"/>
      <c r="D29" s="999"/>
      <c r="E29" s="999"/>
      <c r="F29" s="6" t="s">
        <v>264</v>
      </c>
    </row>
    <row r="31" spans="1:12" x14ac:dyDescent="0.25">
      <c r="A31" s="603" t="s">
        <v>1065</v>
      </c>
      <c r="B31" s="1003" t="s">
        <v>675</v>
      </c>
      <c r="C31" s="1003"/>
      <c r="D31" s="1003"/>
      <c r="E31" s="56" t="s">
        <v>676</v>
      </c>
      <c r="F31" s="6"/>
      <c r="G31" s="6"/>
      <c r="H31" s="6"/>
      <c r="I31" s="6"/>
    </row>
    <row r="32" spans="1:12"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6">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7:E27"/>
    <mergeCell ref="B28:E28"/>
    <mergeCell ref="B19:E19"/>
    <mergeCell ref="B21:E21"/>
    <mergeCell ref="B22:E22"/>
    <mergeCell ref="B24:E24"/>
    <mergeCell ref="B25:E25"/>
    <mergeCell ref="B23:E23"/>
    <mergeCell ref="B20:E20"/>
    <mergeCell ref="G8:G10"/>
    <mergeCell ref="L13:L14"/>
    <mergeCell ref="Z5:AB5"/>
    <mergeCell ref="Z6:AA6"/>
    <mergeCell ref="Z8:AA8"/>
    <mergeCell ref="Z9:AA9"/>
    <mergeCell ref="Z10:AA10"/>
    <mergeCell ref="G7:H7"/>
    <mergeCell ref="Z16:AA16"/>
    <mergeCell ref="Z11:AA11"/>
    <mergeCell ref="Z12:AA12"/>
    <mergeCell ref="Z13:AA13"/>
    <mergeCell ref="Z14:AA14"/>
    <mergeCell ref="Z15:AA15"/>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1:D31"/>
    <mergeCell ref="B32:D32"/>
    <mergeCell ref="B18:E18"/>
    <mergeCell ref="B8:E8"/>
    <mergeCell ref="B9:E9"/>
    <mergeCell ref="B16:E16"/>
    <mergeCell ref="B11:E11"/>
    <mergeCell ref="B12:E12"/>
    <mergeCell ref="B13:E13"/>
    <mergeCell ref="B14:E14"/>
    <mergeCell ref="B15:E15"/>
    <mergeCell ref="B10:E10"/>
    <mergeCell ref="B17:E17"/>
    <mergeCell ref="B29:E29"/>
    <mergeCell ref="B26:E26"/>
    <mergeCell ref="G2:H2"/>
    <mergeCell ref="B3:E3"/>
    <mergeCell ref="G3:H3"/>
    <mergeCell ref="B4:E4"/>
    <mergeCell ref="B5:E5"/>
    <mergeCell ref="B6:E6"/>
    <mergeCell ref="B7:E7"/>
    <mergeCell ref="G6:H6"/>
    <mergeCell ref="G4:H4"/>
    <mergeCell ref="G5:H5"/>
  </mergeCells>
  <conditionalFormatting sqref="B5">
    <cfRule type="containsText" dxfId="245" priority="1" operator="containsText" text="Terminé">
      <formula>NOT(ISERROR(SEARCH("Terminé",B5)))</formula>
    </cfRule>
    <cfRule type="containsText" dxfId="244" priority="2" operator="containsText" text="En cours">
      <formula>NOT(ISERROR(SEARCH("En cours",B5)))</formula>
    </cfRule>
    <cfRule type="containsText" dxfId="24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2"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13" zoomScaleNormal="100" workbookViewId="0">
      <selection activeCell="B8" sqref="B8:E8"/>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2" width="11.42578125" style="1"/>
    <col min="13" max="13" width="13.5703125" style="1" customWidth="1"/>
    <col min="14" max="16384" width="11.42578125" style="1"/>
  </cols>
  <sheetData>
    <row r="1" spans="1:28" ht="26.25" x14ac:dyDescent="0.4">
      <c r="A1" s="1001" t="s">
        <v>937</v>
      </c>
      <c r="B1" s="1001"/>
      <c r="C1" s="1001"/>
      <c r="D1" s="1001"/>
      <c r="E1" s="1001"/>
      <c r="F1" s="276"/>
      <c r="G1" s="7"/>
      <c r="H1" s="7"/>
    </row>
    <row r="2" spans="1:28" ht="19.5" customHeight="1" x14ac:dyDescent="0.25">
      <c r="A2" s="415" t="s">
        <v>750</v>
      </c>
      <c r="B2" s="1068" t="s">
        <v>88</v>
      </c>
      <c r="C2" s="1068"/>
      <c r="D2" s="1068"/>
      <c r="E2" s="1068"/>
      <c r="F2" s="7"/>
      <c r="G2" s="986" t="s">
        <v>751</v>
      </c>
      <c r="H2" s="986"/>
    </row>
    <row r="3" spans="1:28" ht="19.5" customHeight="1" x14ac:dyDescent="0.25">
      <c r="A3" s="409" t="s">
        <v>743</v>
      </c>
      <c r="B3" s="987" t="s">
        <v>457</v>
      </c>
      <c r="C3" s="987"/>
      <c r="D3" s="987"/>
      <c r="E3" s="987"/>
      <c r="F3" s="7"/>
      <c r="G3" s="986" t="s">
        <v>752</v>
      </c>
      <c r="H3" s="986"/>
      <c r="I3" s="6"/>
      <c r="J3" s="6"/>
    </row>
    <row r="4" spans="1:28" ht="19.5" customHeight="1" x14ac:dyDescent="0.25">
      <c r="A4" s="403" t="s">
        <v>292</v>
      </c>
      <c r="B4" s="996" t="s">
        <v>31</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426</v>
      </c>
      <c r="C7" s="994"/>
      <c r="D7" s="994"/>
      <c r="E7" s="994"/>
      <c r="F7" s="7"/>
      <c r="G7" s="995" t="s">
        <v>756</v>
      </c>
      <c r="H7" s="995"/>
      <c r="I7" s="400"/>
      <c r="J7" s="400"/>
      <c r="Z7" s="401"/>
      <c r="AA7" s="402"/>
      <c r="AB7" s="357"/>
    </row>
    <row r="8" spans="1:28" ht="24" customHeight="1" x14ac:dyDescent="0.25">
      <c r="A8" s="98" t="s">
        <v>1</v>
      </c>
      <c r="B8" s="967" t="s">
        <v>1295</v>
      </c>
      <c r="C8" s="967"/>
      <c r="D8" s="967"/>
      <c r="E8" s="967"/>
      <c r="G8" s="997" t="s">
        <v>936</v>
      </c>
      <c r="H8" s="6"/>
      <c r="I8" s="6"/>
      <c r="J8" s="6"/>
      <c r="K8" s="6"/>
      <c r="L8" s="6"/>
      <c r="M8" s="6"/>
      <c r="Z8" s="1028" t="s">
        <v>611</v>
      </c>
      <c r="AA8" s="1029"/>
      <c r="AB8" s="357">
        <v>0.26819999999999999</v>
      </c>
    </row>
    <row r="9" spans="1:28" ht="24" customHeight="1" x14ac:dyDescent="0.25">
      <c r="A9" s="98" t="s">
        <v>0</v>
      </c>
      <c r="B9" s="967" t="s">
        <v>1005</v>
      </c>
      <c r="C9" s="967"/>
      <c r="D9" s="967"/>
      <c r="E9" s="967"/>
      <c r="G9" s="997"/>
      <c r="H9" s="6"/>
      <c r="I9" s="6"/>
      <c r="J9" s="6"/>
      <c r="K9" s="6"/>
      <c r="L9" s="6"/>
      <c r="M9" s="6"/>
      <c r="Z9" s="1028" t="s">
        <v>612</v>
      </c>
      <c r="AA9" s="1029"/>
      <c r="AB9" s="357">
        <v>3.1300000000000001E-2</v>
      </c>
    </row>
    <row r="10" spans="1:28" ht="33" customHeight="1" x14ac:dyDescent="0.25">
      <c r="A10" s="98" t="s">
        <v>2</v>
      </c>
      <c r="B10" s="1034" t="s">
        <v>1104</v>
      </c>
      <c r="C10" s="1035"/>
      <c r="D10" s="1035"/>
      <c r="E10" s="1035"/>
      <c r="G10" s="997"/>
      <c r="H10" s="6"/>
      <c r="I10" s="6"/>
      <c r="J10" s="6"/>
      <c r="K10" s="6"/>
      <c r="L10" s="6"/>
      <c r="M10" s="7"/>
      <c r="Z10" s="1028"/>
      <c r="AA10" s="1029"/>
      <c r="AB10" s="357"/>
    </row>
    <row r="11" spans="1:28" ht="33" customHeight="1" x14ac:dyDescent="0.25">
      <c r="A11" s="98" t="s">
        <v>29</v>
      </c>
      <c r="B11" s="1035" t="s">
        <v>166</v>
      </c>
      <c r="C11" s="1035"/>
      <c r="D11" s="1035"/>
      <c r="E11" s="1035"/>
      <c r="G11" s="254">
        <v>20</v>
      </c>
      <c r="H11" s="131" t="s">
        <v>544</v>
      </c>
      <c r="I11" s="6"/>
      <c r="J11" s="6"/>
      <c r="K11" s="6"/>
      <c r="L11" s="6"/>
      <c r="Z11" s="1028" t="s">
        <v>613</v>
      </c>
      <c r="AA11" s="1029"/>
      <c r="AB11" s="357">
        <v>0.26819999999999999</v>
      </c>
    </row>
    <row r="12" spans="1:28" ht="30" customHeight="1" x14ac:dyDescent="0.25">
      <c r="A12" s="98" t="s">
        <v>14</v>
      </c>
      <c r="B12" s="1010" t="s">
        <v>607</v>
      </c>
      <c r="C12" s="1010"/>
      <c r="D12" s="1010"/>
      <c r="E12" s="1010"/>
      <c r="Z12" s="1028" t="s">
        <v>614</v>
      </c>
      <c r="AA12" s="1029"/>
      <c r="AB12" s="357">
        <v>1.18E-2</v>
      </c>
    </row>
    <row r="13" spans="1:28" ht="30" customHeight="1" x14ac:dyDescent="0.25">
      <c r="A13" s="98" t="s">
        <v>3</v>
      </c>
      <c r="B13" s="1010"/>
      <c r="C13" s="1010"/>
      <c r="D13" s="1010"/>
      <c r="E13" s="1010"/>
      <c r="G13" s="255" t="s">
        <v>151</v>
      </c>
      <c r="H13" s="262" t="s">
        <v>255</v>
      </c>
      <c r="I13" s="262" t="s">
        <v>256</v>
      </c>
      <c r="J13" s="257" t="s">
        <v>535</v>
      </c>
      <c r="K13" s="262" t="s">
        <v>254</v>
      </c>
      <c r="L13" s="1078"/>
      <c r="N13" s="59" t="s">
        <v>163</v>
      </c>
      <c r="O13" s="59" t="s">
        <v>545</v>
      </c>
      <c r="P13" s="59" t="s">
        <v>149</v>
      </c>
      <c r="Q13" s="60" t="s">
        <v>150</v>
      </c>
      <c r="R13" s="60" t="s">
        <v>165</v>
      </c>
      <c r="Z13" s="1028" t="s">
        <v>615</v>
      </c>
      <c r="AA13" s="1029"/>
      <c r="AB13" s="358">
        <f>AB15/0.55</f>
        <v>0.50363636363636366</v>
      </c>
    </row>
    <row r="14" spans="1:28" ht="30" customHeight="1" x14ac:dyDescent="0.25">
      <c r="A14" s="98" t="s">
        <v>15</v>
      </c>
      <c r="B14" s="1010"/>
      <c r="C14" s="1010"/>
      <c r="D14" s="1010"/>
      <c r="E14" s="1010"/>
      <c r="G14" s="252">
        <v>3398</v>
      </c>
      <c r="H14" s="256">
        <f>'Objectifs CO2'!Z32</f>
        <v>46882.329252344512</v>
      </c>
      <c r="I14" s="256">
        <f>'Objectifs CO2'!AA32</f>
        <v>4047.431355855701</v>
      </c>
      <c r="J14" s="259">
        <f>(H14+I14)/G14*1000</f>
        <v>14988.157918834671</v>
      </c>
      <c r="K14" s="259">
        <f>J14*$O$11</f>
        <v>0</v>
      </c>
      <c r="L14" s="1078"/>
      <c r="N14" s="59">
        <f>SUM(G11:L11)</f>
        <v>20</v>
      </c>
      <c r="O14" s="68">
        <f>(J14+J16+J18+J20+J22+J24)/3</f>
        <v>4996.0526396115574</v>
      </c>
      <c r="P14" s="59">
        <v>0.7</v>
      </c>
      <c r="Q14" s="60">
        <f>AB8</f>
        <v>0.26819999999999999</v>
      </c>
      <c r="R14" s="60">
        <v>15000</v>
      </c>
      <c r="Z14" s="1028" t="s">
        <v>616</v>
      </c>
      <c r="AA14" s="1029"/>
      <c r="AB14" s="357">
        <v>0.26819999999999999</v>
      </c>
    </row>
    <row r="15" spans="1:28" ht="30" customHeight="1" x14ac:dyDescent="0.25">
      <c r="A15" s="98" t="s">
        <v>4</v>
      </c>
      <c r="B15" s="1010">
        <v>2015</v>
      </c>
      <c r="C15" s="1010"/>
      <c r="D15" s="1010"/>
      <c r="E15" s="1010"/>
      <c r="F15" s="6"/>
      <c r="G15" s="6"/>
      <c r="H15" s="6"/>
      <c r="I15" s="6"/>
      <c r="J15" s="6"/>
      <c r="K15" s="6"/>
      <c r="L15" s="6"/>
      <c r="Z15" s="1028" t="s">
        <v>578</v>
      </c>
      <c r="AA15" s="1029"/>
      <c r="AB15" s="357">
        <v>0.27700000000000002</v>
      </c>
    </row>
    <row r="16" spans="1:28" ht="30" customHeight="1" x14ac:dyDescent="0.25">
      <c r="A16" s="98" t="s">
        <v>5</v>
      </c>
      <c r="B16" s="1010">
        <v>2030</v>
      </c>
      <c r="C16" s="1010"/>
      <c r="D16" s="1010"/>
      <c r="E16" s="1010"/>
      <c r="F16" s="6"/>
      <c r="G16" s="6"/>
      <c r="H16" s="6"/>
      <c r="I16" s="6"/>
      <c r="J16" s="6"/>
      <c r="K16" s="6"/>
      <c r="L16" s="6"/>
      <c r="N16" s="60" t="s">
        <v>300</v>
      </c>
      <c r="Z16" s="1028" t="s">
        <v>579</v>
      </c>
      <c r="AA16" s="1029"/>
      <c r="AB16" s="357">
        <v>0.20269999999999999</v>
      </c>
    </row>
    <row r="17" spans="1:14" ht="30" customHeight="1" x14ac:dyDescent="0.25">
      <c r="A17" s="98" t="s">
        <v>6</v>
      </c>
      <c r="B17" s="1000">
        <f>N14*R14</f>
        <v>300000</v>
      </c>
      <c r="C17" s="1000"/>
      <c r="D17" s="1000"/>
      <c r="E17" s="1000"/>
      <c r="F17" s="6"/>
      <c r="G17" s="6"/>
      <c r="H17" s="6"/>
      <c r="I17" s="6"/>
      <c r="J17" s="6"/>
      <c r="K17" s="6"/>
      <c r="L17" s="6"/>
      <c r="N17" s="69">
        <v>800</v>
      </c>
    </row>
    <row r="18" spans="1:14" ht="30" customHeight="1" x14ac:dyDescent="0.25">
      <c r="A18" s="98" t="s">
        <v>7</v>
      </c>
      <c r="B18" s="1000">
        <f>N14*N17</f>
        <v>16000</v>
      </c>
      <c r="C18" s="1000"/>
      <c r="D18" s="1000"/>
      <c r="E18" s="1000"/>
      <c r="F18" s="6"/>
      <c r="G18" s="6"/>
      <c r="H18" s="6"/>
      <c r="I18" s="6"/>
      <c r="J18" s="6"/>
      <c r="K18" s="6"/>
      <c r="L18" s="6"/>
    </row>
    <row r="19" spans="1:14" ht="30" customHeight="1" x14ac:dyDescent="0.25">
      <c r="A19" s="99" t="s">
        <v>307</v>
      </c>
      <c r="B19" s="1039"/>
      <c r="C19" s="1040"/>
      <c r="D19" s="1040"/>
      <c r="E19" s="1040"/>
      <c r="F19" s="6"/>
      <c r="G19" s="6"/>
      <c r="H19" s="6"/>
      <c r="I19" s="6"/>
      <c r="J19" s="6"/>
      <c r="K19" s="6"/>
      <c r="L19" s="6"/>
    </row>
    <row r="20" spans="1:14" s="6" customFormat="1" ht="30" customHeight="1" x14ac:dyDescent="0.25">
      <c r="A20" s="96" t="s">
        <v>306</v>
      </c>
      <c r="B20" s="1041">
        <f>J14*G11</f>
        <v>299763.15837669343</v>
      </c>
      <c r="C20" s="1042"/>
      <c r="D20" s="1042"/>
      <c r="E20" s="1042"/>
    </row>
    <row r="21" spans="1:14" ht="30" customHeight="1" x14ac:dyDescent="0.25">
      <c r="A21" s="98" t="s">
        <v>8</v>
      </c>
      <c r="B21" s="1012">
        <f>B20/10*P14</f>
        <v>20983.42108636854</v>
      </c>
      <c r="C21" s="1012"/>
      <c r="D21" s="1012"/>
      <c r="E21" s="1012"/>
      <c r="F21" s="6"/>
      <c r="G21" s="6"/>
      <c r="H21" s="6"/>
      <c r="I21" s="6"/>
      <c r="J21" s="6"/>
      <c r="K21" s="6"/>
      <c r="L21" s="6"/>
    </row>
    <row r="22" spans="1:14" ht="30" customHeight="1" x14ac:dyDescent="0.25">
      <c r="A22" s="98" t="s">
        <v>9</v>
      </c>
      <c r="B22" s="1000"/>
      <c r="C22" s="1000"/>
      <c r="D22" s="1000"/>
      <c r="E22" s="1000"/>
      <c r="F22" s="6"/>
      <c r="G22" s="6"/>
      <c r="H22" s="6"/>
      <c r="I22" s="6"/>
      <c r="J22" s="6"/>
      <c r="K22" s="6"/>
      <c r="L22" s="6"/>
    </row>
    <row r="23" spans="1:14" ht="30" customHeight="1" x14ac:dyDescent="0.25">
      <c r="A23" s="98" t="s">
        <v>301</v>
      </c>
      <c r="B23" s="1016">
        <f>B17/B21</f>
        <v>14.297001369089857</v>
      </c>
      <c r="C23" s="1016"/>
      <c r="D23" s="1016"/>
      <c r="E23" s="1016"/>
      <c r="F23" s="6"/>
      <c r="G23" s="6"/>
      <c r="H23" s="6"/>
      <c r="I23" s="6"/>
      <c r="J23" s="6"/>
      <c r="K23" s="6"/>
      <c r="L23" s="6"/>
    </row>
    <row r="24" spans="1:14" ht="30" customHeight="1" x14ac:dyDescent="0.25">
      <c r="A24" s="98" t="s">
        <v>302</v>
      </c>
      <c r="B24" s="1017">
        <f>(B17-B18)/B21</f>
        <v>13.534494629405065</v>
      </c>
      <c r="C24" s="1017"/>
      <c r="D24" s="1017"/>
      <c r="E24" s="1017"/>
      <c r="F24" s="6"/>
      <c r="G24" s="6"/>
      <c r="H24" s="6"/>
      <c r="I24" s="6"/>
      <c r="J24" s="6"/>
      <c r="K24" s="6"/>
      <c r="L24" s="6"/>
    </row>
    <row r="25" spans="1:14" ht="30" customHeight="1" x14ac:dyDescent="0.25">
      <c r="A25" s="100" t="s">
        <v>305</v>
      </c>
      <c r="B25" s="1070">
        <f>B20/1000*Q14</f>
        <v>80.396479076629177</v>
      </c>
      <c r="C25" s="1070"/>
      <c r="D25" s="1070"/>
      <c r="E25" s="1070"/>
      <c r="F25" s="6"/>
      <c r="G25" s="6"/>
    </row>
    <row r="26" spans="1:14" ht="30" customHeight="1" x14ac:dyDescent="0.25">
      <c r="A26" s="101" t="s">
        <v>303</v>
      </c>
      <c r="B26" s="1058">
        <f>B25/'Objectifs CO2'!C8</f>
        <v>7.4160615194281349E-3</v>
      </c>
      <c r="C26" s="1058"/>
      <c r="D26" s="1058"/>
      <c r="E26" s="1058"/>
      <c r="F26" s="6"/>
      <c r="G26" s="6"/>
    </row>
    <row r="27" spans="1:14" ht="30" customHeight="1" x14ac:dyDescent="0.25">
      <c r="A27" s="101" t="s">
        <v>304</v>
      </c>
      <c r="B27" s="1056">
        <f>B25/'Objectifs CO2'!C4</f>
        <v>3.7080307597140674E-3</v>
      </c>
      <c r="C27" s="1057"/>
      <c r="D27" s="1057"/>
      <c r="E27" s="1057"/>
      <c r="F27" s="6"/>
      <c r="G27" s="6"/>
    </row>
    <row r="28" spans="1:14" ht="30" customHeight="1" x14ac:dyDescent="0.25">
      <c r="A28" s="101" t="s">
        <v>22</v>
      </c>
      <c r="B28" s="999" t="s">
        <v>10</v>
      </c>
      <c r="C28" s="999"/>
      <c r="D28" s="999"/>
      <c r="E28" s="999"/>
      <c r="F28" s="6"/>
      <c r="G28" s="6"/>
    </row>
    <row r="29" spans="1:14" ht="30" customHeight="1" x14ac:dyDescent="0.25">
      <c r="A29" s="101" t="s">
        <v>257</v>
      </c>
      <c r="B29" s="999" t="s">
        <v>271</v>
      </c>
      <c r="C29" s="999"/>
      <c r="D29" s="999"/>
      <c r="E29" s="999"/>
      <c r="F29" s="6" t="s">
        <v>264</v>
      </c>
    </row>
    <row r="31" spans="1:14" x14ac:dyDescent="0.25">
      <c r="A31" s="603" t="s">
        <v>1065</v>
      </c>
      <c r="B31" s="1003" t="s">
        <v>675</v>
      </c>
      <c r="C31" s="1003"/>
      <c r="D31" s="1003"/>
      <c r="E31" s="56" t="s">
        <v>676</v>
      </c>
      <c r="F31" s="6"/>
      <c r="G31" s="6"/>
      <c r="H31" s="6"/>
      <c r="I31" s="6"/>
    </row>
    <row r="32" spans="1:14"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6">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7:E27"/>
    <mergeCell ref="B28:E28"/>
    <mergeCell ref="B19:E19"/>
    <mergeCell ref="B21:E21"/>
    <mergeCell ref="B22:E22"/>
    <mergeCell ref="B24:E24"/>
    <mergeCell ref="B25:E25"/>
    <mergeCell ref="B23:E23"/>
    <mergeCell ref="B20:E20"/>
    <mergeCell ref="G8:G10"/>
    <mergeCell ref="L13:L14"/>
    <mergeCell ref="Z5:AB5"/>
    <mergeCell ref="Z6:AA6"/>
    <mergeCell ref="Z8:AA8"/>
    <mergeCell ref="Z9:AA9"/>
    <mergeCell ref="Z10:AA10"/>
    <mergeCell ref="G7:H7"/>
    <mergeCell ref="Z16:AA16"/>
    <mergeCell ref="Z11:AA11"/>
    <mergeCell ref="Z12:AA12"/>
    <mergeCell ref="Z13:AA13"/>
    <mergeCell ref="Z14:AA14"/>
    <mergeCell ref="Z15:AA15"/>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1:D31"/>
    <mergeCell ref="B32:D32"/>
    <mergeCell ref="B18:E18"/>
    <mergeCell ref="B8:E8"/>
    <mergeCell ref="B9:E9"/>
    <mergeCell ref="B16:E16"/>
    <mergeCell ref="B11:E11"/>
    <mergeCell ref="B12:E12"/>
    <mergeCell ref="B13:E13"/>
    <mergeCell ref="B14:E14"/>
    <mergeCell ref="B15:E15"/>
    <mergeCell ref="B10:E10"/>
    <mergeCell ref="B17:E17"/>
    <mergeCell ref="B29:E29"/>
    <mergeCell ref="B26:E26"/>
    <mergeCell ref="G2:H2"/>
    <mergeCell ref="B3:E3"/>
    <mergeCell ref="G3:H3"/>
    <mergeCell ref="B4:E4"/>
    <mergeCell ref="B5:E5"/>
    <mergeCell ref="B6:E6"/>
    <mergeCell ref="B7:E7"/>
    <mergeCell ref="G6:H6"/>
    <mergeCell ref="G4:H4"/>
    <mergeCell ref="G5:H5"/>
  </mergeCells>
  <conditionalFormatting sqref="B5">
    <cfRule type="containsText" dxfId="242" priority="1" operator="containsText" text="Terminé">
      <formula>NOT(ISERROR(SEARCH("Terminé",B5)))</formula>
    </cfRule>
    <cfRule type="containsText" dxfId="241" priority="2" operator="containsText" text="En cours">
      <formula>NOT(ISERROR(SEARCH("En cours",B5)))</formula>
    </cfRule>
    <cfRule type="containsText" dxfId="24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5"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4" zoomScaleNormal="100" workbookViewId="0">
      <selection activeCell="B8" sqref="B8:E8"/>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276"/>
      <c r="G1" s="7"/>
      <c r="H1" s="7"/>
    </row>
    <row r="2" spans="1:28" ht="19.5" customHeight="1" x14ac:dyDescent="0.25">
      <c r="A2" s="415" t="s">
        <v>750</v>
      </c>
      <c r="B2" s="1068" t="s">
        <v>89</v>
      </c>
      <c r="C2" s="1068"/>
      <c r="D2" s="1068"/>
      <c r="E2" s="1068"/>
      <c r="F2" s="7"/>
      <c r="G2" s="986" t="s">
        <v>751</v>
      </c>
      <c r="H2" s="986"/>
    </row>
    <row r="3" spans="1:28" ht="19.5" customHeight="1" x14ac:dyDescent="0.25">
      <c r="A3" s="409" t="s">
        <v>743</v>
      </c>
      <c r="B3" s="987" t="s">
        <v>457</v>
      </c>
      <c r="C3" s="987"/>
      <c r="D3" s="987"/>
      <c r="E3" s="987"/>
      <c r="F3" s="7"/>
      <c r="G3" s="986" t="s">
        <v>752</v>
      </c>
      <c r="H3" s="986"/>
      <c r="I3" s="6"/>
      <c r="J3" s="6"/>
    </row>
    <row r="4" spans="1:28" ht="19.5" customHeight="1" x14ac:dyDescent="0.25">
      <c r="A4" s="403" t="s">
        <v>292</v>
      </c>
      <c r="B4" s="996" t="s">
        <v>31</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426</v>
      </c>
      <c r="C7" s="994"/>
      <c r="D7" s="994"/>
      <c r="E7" s="994"/>
      <c r="F7" s="7"/>
      <c r="G7" s="995" t="s">
        <v>756</v>
      </c>
      <c r="H7" s="995"/>
      <c r="I7" s="400"/>
      <c r="J7" s="400"/>
      <c r="Z7" s="401"/>
      <c r="AA7" s="402"/>
      <c r="AB7" s="357"/>
    </row>
    <row r="8" spans="1:28" ht="24" customHeight="1" x14ac:dyDescent="0.25">
      <c r="A8" s="98" t="s">
        <v>1</v>
      </c>
      <c r="B8" s="967" t="s">
        <v>1295</v>
      </c>
      <c r="C8" s="967"/>
      <c r="D8" s="967"/>
      <c r="E8" s="967"/>
      <c r="F8" s="6"/>
      <c r="G8" s="997" t="s">
        <v>936</v>
      </c>
      <c r="H8" s="6"/>
      <c r="I8" s="6"/>
      <c r="J8" s="6"/>
      <c r="K8" s="6"/>
      <c r="L8" s="6"/>
      <c r="M8" s="6"/>
      <c r="Z8" s="1028" t="s">
        <v>611</v>
      </c>
      <c r="AA8" s="1029"/>
      <c r="AB8" s="357">
        <v>0.26819999999999999</v>
      </c>
    </row>
    <row r="9" spans="1:28" ht="24" customHeight="1" x14ac:dyDescent="0.25">
      <c r="A9" s="98" t="s">
        <v>0</v>
      </c>
      <c r="B9" s="967" t="s">
        <v>1006</v>
      </c>
      <c r="C9" s="967"/>
      <c r="D9" s="967"/>
      <c r="E9" s="967"/>
      <c r="F9" s="6"/>
      <c r="G9" s="997"/>
      <c r="H9" s="6"/>
      <c r="I9" s="6"/>
      <c r="J9" s="6"/>
      <c r="K9" s="6"/>
      <c r="L9" s="6"/>
      <c r="M9" s="6"/>
      <c r="Z9" s="1028" t="s">
        <v>612</v>
      </c>
      <c r="AA9" s="1029"/>
      <c r="AB9" s="357">
        <v>3.1300000000000001E-2</v>
      </c>
    </row>
    <row r="10" spans="1:28" ht="15.75" x14ac:dyDescent="0.25">
      <c r="A10" s="98" t="s">
        <v>2</v>
      </c>
      <c r="B10" s="1034" t="s">
        <v>1107</v>
      </c>
      <c r="C10" s="1035"/>
      <c r="D10" s="1035"/>
      <c r="E10" s="1035"/>
      <c r="F10" s="6"/>
      <c r="G10" s="997"/>
      <c r="H10" s="6"/>
      <c r="I10" s="6"/>
      <c r="J10" s="6"/>
      <c r="K10" s="6"/>
      <c r="L10" s="6"/>
      <c r="M10" s="7"/>
      <c r="Z10" s="1028"/>
      <c r="AA10" s="1029"/>
      <c r="AB10" s="357"/>
    </row>
    <row r="11" spans="1:28" ht="30" x14ac:dyDescent="0.25">
      <c r="A11" s="98" t="s">
        <v>29</v>
      </c>
      <c r="B11" s="1035" t="s">
        <v>489</v>
      </c>
      <c r="C11" s="1035"/>
      <c r="D11" s="1035"/>
      <c r="E11" s="1035"/>
      <c r="F11" s="6"/>
      <c r="G11" s="254">
        <v>500</v>
      </c>
      <c r="H11" s="131" t="s">
        <v>566</v>
      </c>
      <c r="I11" s="6"/>
      <c r="J11" s="6"/>
      <c r="K11" s="6"/>
      <c r="L11" s="6"/>
      <c r="Z11" s="1028" t="s">
        <v>613</v>
      </c>
      <c r="AA11" s="1029"/>
      <c r="AB11" s="357">
        <v>0.26819999999999999</v>
      </c>
    </row>
    <row r="12" spans="1:28" ht="30" customHeight="1" x14ac:dyDescent="0.25">
      <c r="A12" s="98" t="s">
        <v>14</v>
      </c>
      <c r="B12" s="1010" t="s">
        <v>607</v>
      </c>
      <c r="C12" s="1010"/>
      <c r="D12" s="1010"/>
      <c r="E12" s="1010"/>
      <c r="F12" s="6"/>
      <c r="K12" s="6"/>
      <c r="L12" s="6"/>
      <c r="Z12" s="1028" t="s">
        <v>614</v>
      </c>
      <c r="AA12" s="1029"/>
      <c r="AB12" s="357">
        <v>1.18E-2</v>
      </c>
    </row>
    <row r="13" spans="1:28" ht="30" customHeight="1" x14ac:dyDescent="0.25">
      <c r="A13" s="98" t="s">
        <v>3</v>
      </c>
      <c r="B13" s="1010"/>
      <c r="C13" s="1010"/>
      <c r="D13" s="1010"/>
      <c r="E13" s="1010"/>
      <c r="F13" s="6"/>
      <c r="G13" s="59" t="s">
        <v>209</v>
      </c>
      <c r="H13" s="59" t="s">
        <v>210</v>
      </c>
      <c r="I13" s="59" t="s">
        <v>149</v>
      </c>
      <c r="J13" s="59" t="s">
        <v>211</v>
      </c>
      <c r="K13" s="6"/>
      <c r="L13" s="6"/>
      <c r="Z13" s="1028" t="s">
        <v>615</v>
      </c>
      <c r="AA13" s="1029"/>
      <c r="AB13" s="358">
        <f>AB15/0.55</f>
        <v>0.50363636363636366</v>
      </c>
    </row>
    <row r="14" spans="1:28" ht="30" customHeight="1" x14ac:dyDescent="0.25">
      <c r="A14" s="98" t="s">
        <v>15</v>
      </c>
      <c r="B14" s="1010"/>
      <c r="C14" s="1010"/>
      <c r="D14" s="1010"/>
      <c r="E14" s="1010"/>
      <c r="F14" s="6"/>
      <c r="G14" s="61">
        <f>G11</f>
        <v>500</v>
      </c>
      <c r="H14" s="61">
        <v>1420</v>
      </c>
      <c r="I14" s="61">
        <v>0.7</v>
      </c>
      <c r="J14" s="61">
        <v>5000</v>
      </c>
      <c r="K14" s="6"/>
      <c r="L14" s="6"/>
      <c r="Z14" s="1028" t="s">
        <v>616</v>
      </c>
      <c r="AA14" s="1029"/>
      <c r="AB14" s="357">
        <v>0.26819999999999999</v>
      </c>
    </row>
    <row r="15" spans="1:28" ht="30" customHeight="1" x14ac:dyDescent="0.25">
      <c r="A15" s="98" t="s">
        <v>4</v>
      </c>
      <c r="B15" s="1010">
        <v>2015</v>
      </c>
      <c r="C15" s="1010"/>
      <c r="D15" s="1010"/>
      <c r="E15" s="1010"/>
      <c r="F15" s="6"/>
      <c r="G15" s="6"/>
      <c r="H15" s="6"/>
      <c r="I15" s="6"/>
      <c r="J15" s="6"/>
      <c r="K15" s="6"/>
      <c r="L15" s="6"/>
      <c r="Z15" s="1028" t="s">
        <v>578</v>
      </c>
      <c r="AA15" s="1029"/>
      <c r="AB15" s="357">
        <v>0.27700000000000002</v>
      </c>
    </row>
    <row r="16" spans="1:28" ht="30" customHeight="1" x14ac:dyDescent="0.25">
      <c r="A16" s="98" t="s">
        <v>5</v>
      </c>
      <c r="B16" s="1010">
        <v>2030</v>
      </c>
      <c r="C16" s="1010"/>
      <c r="D16" s="1010"/>
      <c r="E16" s="1010"/>
      <c r="F16" s="6"/>
      <c r="G16" s="60" t="s">
        <v>212</v>
      </c>
      <c r="H16" s="60" t="s">
        <v>150</v>
      </c>
      <c r="I16" s="6"/>
      <c r="J16" s="6"/>
      <c r="K16" s="6"/>
      <c r="L16" s="6"/>
      <c r="Z16" s="1028" t="s">
        <v>579</v>
      </c>
      <c r="AA16" s="1029"/>
      <c r="AB16" s="357">
        <v>0.20269999999999999</v>
      </c>
    </row>
    <row r="17" spans="1:12" ht="30" customHeight="1" x14ac:dyDescent="0.25">
      <c r="A17" s="98" t="s">
        <v>6</v>
      </c>
      <c r="B17" s="1000">
        <f>G14*J14</f>
        <v>2500000</v>
      </c>
      <c r="C17" s="1000"/>
      <c r="D17" s="1000"/>
      <c r="E17" s="1000"/>
      <c r="F17" s="6"/>
      <c r="G17" s="73">
        <f>G14*H14*10</f>
        <v>7100000</v>
      </c>
      <c r="H17" s="62">
        <f>AB8</f>
        <v>0.26819999999999999</v>
      </c>
      <c r="I17" s="6"/>
      <c r="J17" s="6"/>
      <c r="K17" s="6"/>
      <c r="L17" s="6"/>
    </row>
    <row r="18" spans="1:12" ht="30" customHeight="1" x14ac:dyDescent="0.25">
      <c r="A18" s="98" t="s">
        <v>7</v>
      </c>
      <c r="B18" s="1000">
        <f>G14*800</f>
        <v>400000</v>
      </c>
      <c r="C18" s="1000"/>
      <c r="D18" s="1000"/>
      <c r="E18" s="1000"/>
      <c r="F18" s="6"/>
      <c r="I18" s="6"/>
      <c r="J18" s="6"/>
      <c r="K18" s="6"/>
      <c r="L18" s="6"/>
    </row>
    <row r="19" spans="1:12" ht="30" customHeight="1" x14ac:dyDescent="0.25">
      <c r="A19" s="99" t="s">
        <v>307</v>
      </c>
      <c r="B19" s="1039"/>
      <c r="C19" s="1040"/>
      <c r="D19" s="1040"/>
      <c r="E19" s="1040"/>
      <c r="F19" s="6"/>
      <c r="G19" s="6"/>
      <c r="H19" s="2"/>
      <c r="I19" s="6"/>
      <c r="J19" s="6"/>
      <c r="K19" s="6"/>
      <c r="L19" s="6"/>
    </row>
    <row r="20" spans="1:12" ht="30" customHeight="1" x14ac:dyDescent="0.25">
      <c r="A20" s="96" t="s">
        <v>306</v>
      </c>
      <c r="B20" s="1041">
        <f>G14*H14*10</f>
        <v>7100000</v>
      </c>
      <c r="C20" s="1042"/>
      <c r="D20" s="1042"/>
      <c r="E20" s="1042"/>
      <c r="F20" s="6"/>
      <c r="G20" s="2"/>
      <c r="H20" s="2"/>
      <c r="I20" s="6"/>
      <c r="J20" s="6"/>
      <c r="K20" s="6"/>
      <c r="L20" s="6"/>
    </row>
    <row r="21" spans="1:12" ht="30" customHeight="1" x14ac:dyDescent="0.25">
      <c r="A21" s="98" t="s">
        <v>8</v>
      </c>
      <c r="B21" s="1012">
        <f>B20/10*I14</f>
        <v>496999.99999999994</v>
      </c>
      <c r="C21" s="1012"/>
      <c r="D21" s="1012"/>
      <c r="E21" s="1012"/>
      <c r="F21" s="6"/>
      <c r="G21" s="6"/>
      <c r="H21" s="6"/>
      <c r="I21" s="6"/>
      <c r="J21" s="6"/>
      <c r="K21" s="6"/>
      <c r="L21" s="6"/>
    </row>
    <row r="22" spans="1:12" ht="30" customHeight="1" x14ac:dyDescent="0.25">
      <c r="A22" s="98" t="s">
        <v>9</v>
      </c>
      <c r="B22" s="1000"/>
      <c r="C22" s="1000"/>
      <c r="D22" s="1000"/>
      <c r="E22" s="1000"/>
      <c r="F22" s="6"/>
      <c r="G22" s="6"/>
      <c r="H22" s="6"/>
      <c r="I22" s="6"/>
      <c r="J22" s="6"/>
      <c r="K22" s="6"/>
      <c r="L22" s="6"/>
    </row>
    <row r="23" spans="1:12" ht="30" customHeight="1" x14ac:dyDescent="0.25">
      <c r="A23" s="98" t="s">
        <v>301</v>
      </c>
      <c r="B23" s="1016">
        <f>B17/(B21+B22)</f>
        <v>5.0301810865191152</v>
      </c>
      <c r="C23" s="1016"/>
      <c r="D23" s="1016"/>
      <c r="E23" s="1016"/>
      <c r="F23" s="6"/>
      <c r="G23" s="6"/>
      <c r="H23" s="6"/>
      <c r="I23" s="6"/>
      <c r="J23" s="6"/>
      <c r="K23" s="6"/>
      <c r="L23" s="6"/>
    </row>
    <row r="24" spans="1:12" ht="30" customHeight="1" x14ac:dyDescent="0.25">
      <c r="A24" s="98" t="s">
        <v>302</v>
      </c>
      <c r="B24" s="1017">
        <f>(B17-B18)/(B21+B22)</f>
        <v>4.2253521126760569</v>
      </c>
      <c r="C24" s="1017"/>
      <c r="D24" s="1017"/>
      <c r="E24" s="1017"/>
      <c r="F24" s="6"/>
      <c r="G24" s="6"/>
      <c r="H24" s="6"/>
      <c r="I24" s="6"/>
      <c r="J24" s="6"/>
      <c r="K24" s="6"/>
      <c r="L24" s="6"/>
    </row>
    <row r="25" spans="1:12" ht="30" customHeight="1" x14ac:dyDescent="0.25">
      <c r="A25" s="100" t="s">
        <v>305</v>
      </c>
      <c r="B25" s="1070">
        <f>B20/1000*H17</f>
        <v>1904.22</v>
      </c>
      <c r="C25" s="1070"/>
      <c r="D25" s="1070"/>
      <c r="E25" s="1070"/>
      <c r="F25" s="6"/>
      <c r="G25" s="6"/>
      <c r="H25" s="6"/>
      <c r="I25" s="6"/>
      <c r="J25" s="6"/>
      <c r="K25" s="6"/>
      <c r="L25" s="6"/>
    </row>
    <row r="26" spans="1:12" ht="30" customHeight="1" x14ac:dyDescent="0.25">
      <c r="A26" s="101" t="s">
        <v>303</v>
      </c>
      <c r="B26" s="1058">
        <f>B25/'Objectifs CO2'!C8</f>
        <v>0.17565212841056591</v>
      </c>
      <c r="C26" s="1058"/>
      <c r="D26" s="1058"/>
      <c r="E26" s="1058"/>
    </row>
    <row r="27" spans="1:12" ht="30" customHeight="1" x14ac:dyDescent="0.25">
      <c r="A27" s="101" t="s">
        <v>304</v>
      </c>
      <c r="B27" s="1056">
        <f>B25/'Objectifs CO2'!C4</f>
        <v>8.7826064205282953E-2</v>
      </c>
      <c r="C27" s="1057"/>
      <c r="D27" s="1057"/>
      <c r="E27" s="1057"/>
    </row>
    <row r="28" spans="1:12" ht="30" customHeight="1" x14ac:dyDescent="0.25">
      <c r="A28" s="101" t="s">
        <v>22</v>
      </c>
      <c r="B28" s="1085"/>
      <c r="C28" s="1085"/>
      <c r="D28" s="1085"/>
      <c r="E28" s="1085"/>
    </row>
    <row r="29" spans="1:12" ht="30" customHeight="1" x14ac:dyDescent="0.25">
      <c r="A29" s="101" t="s">
        <v>257</v>
      </c>
      <c r="B29" s="999" t="s">
        <v>283</v>
      </c>
      <c r="C29" s="999"/>
      <c r="D29" s="999"/>
      <c r="E29" s="999"/>
    </row>
    <row r="31" spans="1:12" x14ac:dyDescent="0.25">
      <c r="A31" s="603" t="s">
        <v>1065</v>
      </c>
      <c r="B31" s="1003" t="s">
        <v>675</v>
      </c>
      <c r="C31" s="1003"/>
      <c r="D31" s="1003"/>
      <c r="E31" s="56" t="s">
        <v>676</v>
      </c>
      <c r="F31" s="6"/>
      <c r="G31" s="6"/>
      <c r="H31" s="6"/>
      <c r="I31" s="6"/>
    </row>
    <row r="32" spans="1:12"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35:D35"/>
    <mergeCell ref="H35:I35"/>
    <mergeCell ref="B36:D36"/>
    <mergeCell ref="B42:D42"/>
    <mergeCell ref="B44:D44"/>
    <mergeCell ref="B37:D37"/>
    <mergeCell ref="G59:L59"/>
    <mergeCell ref="B60:F60"/>
    <mergeCell ref="G60:L60"/>
    <mergeCell ref="G46:L46"/>
    <mergeCell ref="B38:D38"/>
    <mergeCell ref="B39:D39"/>
    <mergeCell ref="B40:D40"/>
    <mergeCell ref="B41:D41"/>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B10:E10"/>
    <mergeCell ref="B19:E19"/>
    <mergeCell ref="B20:E20"/>
    <mergeCell ref="B18:E18"/>
    <mergeCell ref="B24:E24"/>
    <mergeCell ref="B25:E25"/>
    <mergeCell ref="B23:E23"/>
    <mergeCell ref="B26:E26"/>
    <mergeCell ref="B21:E21"/>
    <mergeCell ref="B22:E22"/>
    <mergeCell ref="B29:E29"/>
    <mergeCell ref="B28:E28"/>
    <mergeCell ref="B16:E16"/>
    <mergeCell ref="B11:E11"/>
    <mergeCell ref="B12:E12"/>
    <mergeCell ref="B13:E13"/>
    <mergeCell ref="B14:E14"/>
    <mergeCell ref="B15:E15"/>
    <mergeCell ref="B27:E27"/>
    <mergeCell ref="B17:E17"/>
    <mergeCell ref="B33:D33"/>
    <mergeCell ref="H33:I33"/>
    <mergeCell ref="G40:I40"/>
    <mergeCell ref="B34:D34"/>
    <mergeCell ref="H34:I34"/>
    <mergeCell ref="B8:E8"/>
    <mergeCell ref="B9:E9"/>
    <mergeCell ref="A1:E1"/>
    <mergeCell ref="B2:E2"/>
    <mergeCell ref="G2:H2"/>
    <mergeCell ref="B3:E3"/>
    <mergeCell ref="G3:H3"/>
    <mergeCell ref="B4:E4"/>
    <mergeCell ref="B5:E5"/>
    <mergeCell ref="B6:E6"/>
    <mergeCell ref="B7:E7"/>
    <mergeCell ref="G6:H6"/>
    <mergeCell ref="G4:H4"/>
    <mergeCell ref="G5:H5"/>
    <mergeCell ref="G7:H7"/>
    <mergeCell ref="B31:D31"/>
    <mergeCell ref="B32:D32"/>
    <mergeCell ref="G32:I32"/>
    <mergeCell ref="G8:G10"/>
  </mergeCells>
  <conditionalFormatting sqref="B5">
    <cfRule type="containsText" dxfId="239" priority="1" operator="containsText" text="Terminé">
      <formula>NOT(ISERROR(SEARCH("Terminé",B5)))</formula>
    </cfRule>
    <cfRule type="containsText" dxfId="238" priority="2" operator="containsText" text="En cours">
      <formula>NOT(ISERROR(SEARCH("En cours",B5)))</formula>
    </cfRule>
    <cfRule type="containsText" dxfId="23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D13" zoomScaleNormal="100" workbookViewId="0">
      <selection activeCell="B8" sqref="B8:E8"/>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90</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424</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Z7" s="401"/>
      <c r="AA7" s="402"/>
      <c r="AB7" s="357"/>
    </row>
    <row r="8" spans="1:28" ht="15" customHeight="1" x14ac:dyDescent="0.25">
      <c r="A8" s="154" t="s">
        <v>1</v>
      </c>
      <c r="B8" s="967" t="s">
        <v>31</v>
      </c>
      <c r="C8" s="967"/>
      <c r="D8" s="967"/>
      <c r="E8" s="967"/>
      <c r="G8" s="997" t="s">
        <v>936</v>
      </c>
      <c r="Z8" s="1028" t="s">
        <v>611</v>
      </c>
      <c r="AA8" s="1029"/>
      <c r="AB8" s="357">
        <v>0.26819999999999999</v>
      </c>
    </row>
    <row r="9" spans="1:28" x14ac:dyDescent="0.25">
      <c r="A9" s="154" t="s">
        <v>0</v>
      </c>
      <c r="B9" s="967" t="s">
        <v>419</v>
      </c>
      <c r="C9" s="967"/>
      <c r="D9" s="967"/>
      <c r="E9" s="967"/>
      <c r="G9" s="997"/>
      <c r="Z9" s="1028" t="s">
        <v>612</v>
      </c>
      <c r="AA9" s="1029"/>
      <c r="AB9" s="357">
        <v>3.1300000000000001E-2</v>
      </c>
    </row>
    <row r="10" spans="1:28" ht="15.75" x14ac:dyDescent="0.25">
      <c r="A10" s="154" t="s">
        <v>2</v>
      </c>
      <c r="B10" s="1034" t="s">
        <v>1007</v>
      </c>
      <c r="C10" s="1035"/>
      <c r="D10" s="1035"/>
      <c r="E10" s="1035"/>
      <c r="G10" s="997"/>
      <c r="M10" s="7"/>
      <c r="Z10" s="1028"/>
      <c r="AA10" s="1029"/>
      <c r="AB10" s="357"/>
    </row>
    <row r="11" spans="1:28" ht="32.25" customHeight="1" x14ac:dyDescent="0.25">
      <c r="A11" s="154" t="s">
        <v>29</v>
      </c>
      <c r="B11" s="1035" t="s">
        <v>448</v>
      </c>
      <c r="C11" s="1035"/>
      <c r="D11" s="1035"/>
      <c r="E11" s="1035"/>
      <c r="G11" s="254">
        <v>5</v>
      </c>
      <c r="H11" s="131" t="s">
        <v>573</v>
      </c>
      <c r="Z11" s="1028" t="s">
        <v>613</v>
      </c>
      <c r="AA11" s="1029"/>
      <c r="AB11" s="357">
        <v>0.26819999999999999</v>
      </c>
    </row>
    <row r="12" spans="1:28" ht="30" customHeight="1" x14ac:dyDescent="0.25">
      <c r="A12" s="154" t="s">
        <v>14</v>
      </c>
      <c r="B12" s="1010" t="s">
        <v>607</v>
      </c>
      <c r="C12" s="1010"/>
      <c r="D12" s="1010"/>
      <c r="E12" s="1010"/>
      <c r="Z12" s="1028" t="s">
        <v>614</v>
      </c>
      <c r="AA12" s="1029"/>
      <c r="AB12" s="357">
        <v>1.18E-2</v>
      </c>
    </row>
    <row r="13" spans="1:28" ht="30" customHeight="1" x14ac:dyDescent="0.25">
      <c r="A13" s="154" t="s">
        <v>3</v>
      </c>
      <c r="B13" s="1010"/>
      <c r="C13" s="1010"/>
      <c r="D13" s="1010"/>
      <c r="E13" s="1010"/>
      <c r="G13" s="59" t="s">
        <v>392</v>
      </c>
      <c r="H13" s="59" t="s">
        <v>210</v>
      </c>
      <c r="I13" s="59" t="s">
        <v>149</v>
      </c>
      <c r="J13" s="59" t="s">
        <v>393</v>
      </c>
      <c r="K13" s="59" t="s">
        <v>165</v>
      </c>
      <c r="L13" s="59" t="s">
        <v>394</v>
      </c>
      <c r="M13" s="59" t="s">
        <v>490</v>
      </c>
      <c r="N13" s="59" t="s">
        <v>491</v>
      </c>
      <c r="Z13" s="1028" t="s">
        <v>615</v>
      </c>
      <c r="AA13" s="1029"/>
      <c r="AB13" s="358">
        <f>AB15/0.55</f>
        <v>0.50363636363636366</v>
      </c>
    </row>
    <row r="14" spans="1:28" ht="30" customHeight="1" x14ac:dyDescent="0.25">
      <c r="A14" s="154" t="s">
        <v>15</v>
      </c>
      <c r="B14" s="1010"/>
      <c r="C14" s="1010"/>
      <c r="D14" s="1010"/>
      <c r="E14" s="1010"/>
      <c r="G14" s="189">
        <v>5</v>
      </c>
      <c r="H14" s="189">
        <v>600</v>
      </c>
      <c r="I14" s="189">
        <v>0.7</v>
      </c>
      <c r="J14" s="189">
        <v>18000</v>
      </c>
      <c r="K14" s="189">
        <v>8000</v>
      </c>
      <c r="L14" s="189">
        <v>5.4</v>
      </c>
      <c r="M14" s="189">
        <v>6000</v>
      </c>
      <c r="N14" s="189">
        <v>3000</v>
      </c>
      <c r="Z14" s="1028" t="s">
        <v>616</v>
      </c>
      <c r="AA14" s="1029"/>
      <c r="AB14" s="357">
        <v>0.26819999999999999</v>
      </c>
    </row>
    <row r="15" spans="1:28" ht="30" customHeight="1" x14ac:dyDescent="0.25">
      <c r="A15" s="154" t="s">
        <v>4</v>
      </c>
      <c r="B15" s="1010">
        <v>2015</v>
      </c>
      <c r="C15" s="1010"/>
      <c r="D15" s="1010"/>
      <c r="E15" s="1010"/>
      <c r="G15" s="6" t="s">
        <v>1008</v>
      </c>
      <c r="Z15" s="1028" t="s">
        <v>578</v>
      </c>
      <c r="AA15" s="1029"/>
      <c r="AB15" s="357">
        <v>0.27700000000000002</v>
      </c>
    </row>
    <row r="16" spans="1:28" ht="30" customHeight="1" x14ac:dyDescent="0.25">
      <c r="A16" s="154" t="s">
        <v>5</v>
      </c>
      <c r="B16" s="1010">
        <v>2030</v>
      </c>
      <c r="C16" s="1010"/>
      <c r="D16" s="1010"/>
      <c r="E16" s="1010"/>
      <c r="Z16" s="1028" t="s">
        <v>579</v>
      </c>
      <c r="AA16" s="1029"/>
      <c r="AB16" s="357">
        <v>0.20269999999999999</v>
      </c>
    </row>
    <row r="17" spans="1:12" ht="30" customHeight="1" x14ac:dyDescent="0.25">
      <c r="A17" s="154" t="s">
        <v>6</v>
      </c>
      <c r="B17" s="1000">
        <f>G14*J14</f>
        <v>90000</v>
      </c>
      <c r="C17" s="1000"/>
      <c r="D17" s="1000"/>
      <c r="E17" s="1000"/>
      <c r="G17" s="60" t="s">
        <v>212</v>
      </c>
      <c r="H17" s="60" t="s">
        <v>150</v>
      </c>
      <c r="I17" s="60" t="s">
        <v>395</v>
      </c>
      <c r="J17" s="60" t="s">
        <v>396</v>
      </c>
      <c r="K17" s="60" t="s">
        <v>397</v>
      </c>
      <c r="L17" s="158" t="s">
        <v>398</v>
      </c>
    </row>
    <row r="18" spans="1:12" ht="30" customHeight="1" x14ac:dyDescent="0.25">
      <c r="A18" s="154" t="s">
        <v>7</v>
      </c>
      <c r="B18" s="1000">
        <f>G14*L18</f>
        <v>0</v>
      </c>
      <c r="C18" s="1000"/>
      <c r="D18" s="1000"/>
      <c r="E18" s="1000"/>
      <c r="G18" s="73">
        <f>G14*H14*10</f>
        <v>30000</v>
      </c>
      <c r="H18" s="192">
        <f>AB8</f>
        <v>0.26819999999999999</v>
      </c>
      <c r="I18" s="75">
        <f>H14*10/L14</f>
        <v>1111.1111111111111</v>
      </c>
      <c r="J18" s="192">
        <v>7.0000000000000007E-2</v>
      </c>
      <c r="K18" s="192">
        <v>0</v>
      </c>
      <c r="L18" s="159">
        <v>0</v>
      </c>
    </row>
    <row r="19" spans="1:12" ht="30" customHeight="1" x14ac:dyDescent="0.25">
      <c r="A19" s="106" t="s">
        <v>307</v>
      </c>
      <c r="B19" s="1013"/>
      <c r="C19" s="1014"/>
      <c r="D19" s="1014"/>
      <c r="E19" s="1014"/>
    </row>
    <row r="20" spans="1:12" ht="30" customHeight="1" x14ac:dyDescent="0.25">
      <c r="A20" s="97" t="s">
        <v>306</v>
      </c>
      <c r="B20" s="1006">
        <f>G14*H14*10/0.92-G14*H14*10/L14</f>
        <v>27053.140096618357</v>
      </c>
      <c r="C20" s="1007"/>
      <c r="D20" s="1007"/>
      <c r="E20" s="1007"/>
      <c r="F20" s="2"/>
    </row>
    <row r="21" spans="1:12" ht="30" customHeight="1" x14ac:dyDescent="0.25">
      <c r="A21" s="154" t="s">
        <v>8</v>
      </c>
      <c r="B21" s="1012">
        <f>(G14*H14*I14)-(G14*H14*10/L14*K18)+(N14*K18)</f>
        <v>2100</v>
      </c>
      <c r="C21" s="1012"/>
      <c r="D21" s="1012"/>
      <c r="E21" s="1012"/>
      <c r="G21" s="191" t="s">
        <v>398</v>
      </c>
      <c r="H21" s="210">
        <v>0</v>
      </c>
    </row>
    <row r="22" spans="1:12" ht="30" customHeight="1" x14ac:dyDescent="0.25">
      <c r="A22" s="154" t="s">
        <v>9</v>
      </c>
      <c r="B22" s="1000"/>
      <c r="C22" s="1000"/>
      <c r="D22" s="1000"/>
      <c r="E22" s="1000"/>
    </row>
    <row r="23" spans="1:12" ht="30" customHeight="1" x14ac:dyDescent="0.25">
      <c r="A23" s="154" t="s">
        <v>301</v>
      </c>
      <c r="B23" s="1016">
        <f>(B17-((K14+M14)*G14)+(N14*K18))/(B21+B22)</f>
        <v>9.5238095238095237</v>
      </c>
      <c r="C23" s="1016"/>
      <c r="D23" s="1016"/>
      <c r="E23" s="1016"/>
    </row>
    <row r="24" spans="1:12" ht="30" customHeight="1" x14ac:dyDescent="0.25">
      <c r="A24" s="154" t="s">
        <v>330</v>
      </c>
      <c r="B24" s="1017">
        <f>(B17-B18-(((K14+M14)*G14)+(N14*K18)))/(B21+B22)</f>
        <v>9.5238095238095237</v>
      </c>
      <c r="C24" s="1017"/>
      <c r="D24" s="1017"/>
      <c r="E24" s="1017"/>
    </row>
    <row r="25" spans="1:12" ht="30" customHeight="1" x14ac:dyDescent="0.25">
      <c r="A25" s="100" t="s">
        <v>305</v>
      </c>
      <c r="B25" s="1070">
        <f>B20/1000*H18</f>
        <v>7.2556521739130435</v>
      </c>
      <c r="C25" s="1070"/>
      <c r="D25" s="1070"/>
      <c r="E25" s="1070"/>
    </row>
    <row r="26" spans="1:12" ht="30" customHeight="1" x14ac:dyDescent="0.25">
      <c r="A26" s="101" t="s">
        <v>303</v>
      </c>
      <c r="B26" s="1057">
        <f>B25/'[2]Objectifs CO2'!$C$7</f>
        <v>8.1252124055556027E-3</v>
      </c>
      <c r="C26" s="1057"/>
      <c r="D26" s="1057"/>
      <c r="E26" s="1057"/>
    </row>
    <row r="27" spans="1:12" ht="30" customHeight="1" x14ac:dyDescent="0.25">
      <c r="A27" s="101" t="s">
        <v>304</v>
      </c>
      <c r="B27" s="1057">
        <f>B25/'[2]Objectifs CO2'!$C$4</f>
        <v>2.4375637216666811E-3</v>
      </c>
      <c r="C27" s="1057"/>
      <c r="D27" s="1057"/>
      <c r="E27" s="1057"/>
    </row>
    <row r="28" spans="1:12" ht="30" customHeight="1" x14ac:dyDescent="0.25">
      <c r="A28" s="101" t="s">
        <v>22</v>
      </c>
      <c r="B28" s="1085"/>
      <c r="C28" s="1085"/>
      <c r="D28" s="1085"/>
      <c r="E28" s="1085"/>
    </row>
    <row r="29" spans="1:12" ht="30" customHeight="1" x14ac:dyDescent="0.25">
      <c r="A29" s="101" t="s">
        <v>257</v>
      </c>
      <c r="B29" s="999" t="s">
        <v>399</v>
      </c>
      <c r="C29" s="999"/>
      <c r="D29" s="999"/>
      <c r="E29" s="999"/>
    </row>
    <row r="31" spans="1:12" x14ac:dyDescent="0.25">
      <c r="A31" s="603" t="s">
        <v>1065</v>
      </c>
      <c r="B31" s="1003" t="s">
        <v>675</v>
      </c>
      <c r="C31" s="1003"/>
      <c r="D31" s="1003"/>
      <c r="E31" s="56" t="s">
        <v>676</v>
      </c>
    </row>
    <row r="32" spans="1:12"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B5:E5"/>
    <mergeCell ref="B6:E6"/>
    <mergeCell ref="B7:E7"/>
    <mergeCell ref="B12:E12"/>
    <mergeCell ref="B17:E17"/>
    <mergeCell ref="B29:E29"/>
    <mergeCell ref="B18:E18"/>
    <mergeCell ref="B19:E19"/>
    <mergeCell ref="B20:E20"/>
    <mergeCell ref="B21:E21"/>
    <mergeCell ref="B22:E22"/>
    <mergeCell ref="B23:E23"/>
    <mergeCell ref="B24:E24"/>
    <mergeCell ref="B25:E25"/>
    <mergeCell ref="B26:E26"/>
    <mergeCell ref="B27:E27"/>
    <mergeCell ref="B28:E28"/>
    <mergeCell ref="B36:D36"/>
    <mergeCell ref="B13:E13"/>
    <mergeCell ref="B14:E14"/>
    <mergeCell ref="B15:E15"/>
    <mergeCell ref="B16:E16"/>
    <mergeCell ref="G8:G10"/>
    <mergeCell ref="Z5:AB5"/>
    <mergeCell ref="Z6:AA6"/>
    <mergeCell ref="Z8:AA8"/>
    <mergeCell ref="Z9:AA9"/>
    <mergeCell ref="Z10:AA10"/>
    <mergeCell ref="G7:H7"/>
    <mergeCell ref="G6:H6"/>
    <mergeCell ref="Z16:AA16"/>
    <mergeCell ref="Z11:AA11"/>
    <mergeCell ref="Z12:AA12"/>
    <mergeCell ref="Z13:AA13"/>
    <mergeCell ref="Z14:AA14"/>
    <mergeCell ref="Z15:AA15"/>
    <mergeCell ref="B11:E11"/>
    <mergeCell ref="B8:E8"/>
    <mergeCell ref="B9:E9"/>
    <mergeCell ref="B10:E10"/>
    <mergeCell ref="A1:E1"/>
    <mergeCell ref="B2:E2"/>
    <mergeCell ref="G2:H2"/>
    <mergeCell ref="B3:E3"/>
    <mergeCell ref="G3:H3"/>
    <mergeCell ref="B42:D42"/>
    <mergeCell ref="B44:D44"/>
    <mergeCell ref="B37:D37"/>
    <mergeCell ref="B38:D38"/>
    <mergeCell ref="B39:D39"/>
    <mergeCell ref="B40:D40"/>
    <mergeCell ref="B41:D41"/>
    <mergeCell ref="G4:H4"/>
    <mergeCell ref="G5:H5"/>
    <mergeCell ref="B31:D31"/>
    <mergeCell ref="B32:D32"/>
    <mergeCell ref="G32:I32"/>
    <mergeCell ref="B33:D33"/>
    <mergeCell ref="H33:I33"/>
    <mergeCell ref="G40:I40"/>
    <mergeCell ref="B34:D34"/>
    <mergeCell ref="H34:I34"/>
    <mergeCell ref="B35:D35"/>
    <mergeCell ref="H35:I35"/>
  </mergeCells>
  <conditionalFormatting sqref="B5">
    <cfRule type="containsText" dxfId="236" priority="1" operator="containsText" text="Terminé">
      <formula>NOT(ISERROR(SEARCH("Terminé",B5)))</formula>
    </cfRule>
    <cfRule type="containsText" dxfId="235" priority="2" operator="containsText" text="En cours">
      <formula>NOT(ISERROR(SEARCH("En cours",B5)))</formula>
    </cfRule>
    <cfRule type="containsText" dxfId="23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D15" workbookViewId="0">
      <selection activeCell="B8" sqref="B8:E8"/>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91</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424</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15" customHeight="1" x14ac:dyDescent="0.25">
      <c r="A8" s="169" t="s">
        <v>1</v>
      </c>
      <c r="B8" s="967" t="s">
        <v>31</v>
      </c>
      <c r="C8" s="967"/>
      <c r="D8" s="967"/>
      <c r="E8" s="967"/>
      <c r="G8" s="997" t="s">
        <v>936</v>
      </c>
      <c r="Z8" s="1028" t="s">
        <v>611</v>
      </c>
      <c r="AA8" s="1029"/>
      <c r="AB8" s="357">
        <v>0.26819999999999999</v>
      </c>
    </row>
    <row r="9" spans="1:28" x14ac:dyDescent="0.25">
      <c r="A9" s="169" t="s">
        <v>0</v>
      </c>
      <c r="B9" s="967" t="s">
        <v>420</v>
      </c>
      <c r="C9" s="967"/>
      <c r="D9" s="967"/>
      <c r="E9" s="967"/>
      <c r="G9" s="997"/>
      <c r="Z9" s="1028" t="s">
        <v>612</v>
      </c>
      <c r="AA9" s="1029"/>
      <c r="AB9" s="357">
        <v>3.1300000000000001E-2</v>
      </c>
    </row>
    <row r="10" spans="1:28" ht="15.75" x14ac:dyDescent="0.25">
      <c r="A10" s="169" t="s">
        <v>2</v>
      </c>
      <c r="B10" s="1034" t="s">
        <v>1009</v>
      </c>
      <c r="C10" s="1035"/>
      <c r="D10" s="1035"/>
      <c r="E10" s="1035"/>
      <c r="G10" s="997"/>
      <c r="M10" s="7"/>
      <c r="Z10" s="1028"/>
      <c r="AA10" s="1029"/>
      <c r="AB10" s="357"/>
    </row>
    <row r="11" spans="1:28" ht="32.25" customHeight="1" x14ac:dyDescent="0.25">
      <c r="A11" s="169" t="s">
        <v>29</v>
      </c>
      <c r="B11" s="1035" t="s">
        <v>448</v>
      </c>
      <c r="C11" s="1035"/>
      <c r="D11" s="1035"/>
      <c r="E11" s="1035"/>
      <c r="G11" s="254">
        <v>10</v>
      </c>
      <c r="H11" s="131" t="s">
        <v>574</v>
      </c>
      <c r="Z11" s="1028" t="s">
        <v>613</v>
      </c>
      <c r="AA11" s="1029"/>
      <c r="AB11" s="357">
        <v>0.26819999999999999</v>
      </c>
    </row>
    <row r="12" spans="1:28" ht="30" customHeight="1" x14ac:dyDescent="0.25">
      <c r="A12" s="169" t="s">
        <v>14</v>
      </c>
      <c r="B12" s="1010" t="s">
        <v>607</v>
      </c>
      <c r="C12" s="1010"/>
      <c r="D12" s="1010"/>
      <c r="E12" s="1010"/>
      <c r="Z12" s="1028" t="s">
        <v>614</v>
      </c>
      <c r="AA12" s="1029"/>
      <c r="AB12" s="357">
        <v>1.18E-2</v>
      </c>
    </row>
    <row r="13" spans="1:28" ht="30" customHeight="1" x14ac:dyDescent="0.25">
      <c r="A13" s="169" t="s">
        <v>3</v>
      </c>
      <c r="B13" s="1010"/>
      <c r="C13" s="1010"/>
      <c r="D13" s="1010"/>
      <c r="E13" s="1010"/>
      <c r="G13" s="59" t="s">
        <v>392</v>
      </c>
      <c r="H13" s="59" t="s">
        <v>210</v>
      </c>
      <c r="I13" s="59" t="s">
        <v>149</v>
      </c>
      <c r="J13" s="59" t="s">
        <v>393</v>
      </c>
      <c r="K13" s="59" t="s">
        <v>165</v>
      </c>
      <c r="L13" s="59" t="s">
        <v>394</v>
      </c>
      <c r="Z13" s="1028" t="s">
        <v>615</v>
      </c>
      <c r="AA13" s="1029"/>
      <c r="AB13" s="358">
        <f>AB15/0.55</f>
        <v>0.50363636363636366</v>
      </c>
    </row>
    <row r="14" spans="1:28" ht="30" customHeight="1" x14ac:dyDescent="0.25">
      <c r="A14" s="169" t="s">
        <v>15</v>
      </c>
      <c r="B14" s="1010"/>
      <c r="C14" s="1010"/>
      <c r="D14" s="1010"/>
      <c r="E14" s="1010"/>
      <c r="G14" s="168">
        <f>SUM(G11:L11)</f>
        <v>10</v>
      </c>
      <c r="H14" s="168">
        <v>600</v>
      </c>
      <c r="I14" s="168">
        <v>0.7</v>
      </c>
      <c r="J14" s="168">
        <v>5500</v>
      </c>
      <c r="K14" s="168">
        <v>4500</v>
      </c>
      <c r="L14" s="168">
        <v>3.5</v>
      </c>
      <c r="Z14" s="1028" t="s">
        <v>616</v>
      </c>
      <c r="AA14" s="1029"/>
      <c r="AB14" s="357">
        <v>0.26819999999999999</v>
      </c>
    </row>
    <row r="15" spans="1:28" ht="30" customHeight="1" x14ac:dyDescent="0.25">
      <c r="A15" s="169" t="s">
        <v>4</v>
      </c>
      <c r="B15" s="1010">
        <v>2015</v>
      </c>
      <c r="C15" s="1010"/>
      <c r="D15" s="1010"/>
      <c r="E15" s="1010"/>
      <c r="Z15" s="1028" t="s">
        <v>578</v>
      </c>
      <c r="AA15" s="1029"/>
      <c r="AB15" s="357">
        <v>0.27700000000000002</v>
      </c>
    </row>
    <row r="16" spans="1:28" ht="30" customHeight="1" x14ac:dyDescent="0.25">
      <c r="A16" s="169" t="s">
        <v>5</v>
      </c>
      <c r="B16" s="1010">
        <v>2030</v>
      </c>
      <c r="C16" s="1010"/>
      <c r="D16" s="1010"/>
      <c r="E16" s="1010"/>
      <c r="Z16" s="1028" t="s">
        <v>579</v>
      </c>
      <c r="AA16" s="1029"/>
      <c r="AB16" s="357">
        <v>0.20269999999999999</v>
      </c>
    </row>
    <row r="17" spans="1:15" ht="30" customHeight="1" x14ac:dyDescent="0.25">
      <c r="A17" s="169" t="s">
        <v>6</v>
      </c>
      <c r="B17" s="1000">
        <f>G14*J14</f>
        <v>55000</v>
      </c>
      <c r="C17" s="1000"/>
      <c r="D17" s="1000"/>
      <c r="E17" s="1000"/>
      <c r="G17" s="60" t="s">
        <v>212</v>
      </c>
      <c r="H17" s="60" t="s">
        <v>150</v>
      </c>
      <c r="I17" s="60" t="s">
        <v>151</v>
      </c>
      <c r="J17" s="60" t="s">
        <v>129</v>
      </c>
      <c r="K17" s="60" t="s">
        <v>395</v>
      </c>
      <c r="L17" s="60" t="s">
        <v>396</v>
      </c>
      <c r="M17" s="60" t="s">
        <v>397</v>
      </c>
      <c r="N17" s="158" t="s">
        <v>398</v>
      </c>
    </row>
    <row r="18" spans="1:15" ht="30" customHeight="1" x14ac:dyDescent="0.25">
      <c r="A18" s="169" t="s">
        <v>7</v>
      </c>
      <c r="B18" s="1000">
        <v>0</v>
      </c>
      <c r="C18" s="1000"/>
      <c r="D18" s="1000"/>
      <c r="E18" s="1000"/>
      <c r="G18" s="73">
        <f>G14*H14*10</f>
        <v>60000</v>
      </c>
      <c r="H18" s="166">
        <f>AB8</f>
        <v>0.26819999999999999</v>
      </c>
      <c r="I18" s="166">
        <v>1128</v>
      </c>
      <c r="J18" s="166">
        <v>7.0000000000000007E-2</v>
      </c>
      <c r="K18" s="75">
        <f>H14*10/L14</f>
        <v>1714.2857142857142</v>
      </c>
      <c r="L18" s="166">
        <v>8.5999999999999993E-2</v>
      </c>
      <c r="M18" s="166">
        <v>0</v>
      </c>
      <c r="N18" s="159">
        <v>800</v>
      </c>
    </row>
    <row r="19" spans="1:15" ht="30" customHeight="1" x14ac:dyDescent="0.25">
      <c r="A19" s="106" t="s">
        <v>307</v>
      </c>
      <c r="B19" s="1013"/>
      <c r="C19" s="1014"/>
      <c r="D19" s="1014"/>
      <c r="E19" s="1014"/>
    </row>
    <row r="20" spans="1:15" ht="30" customHeight="1" x14ac:dyDescent="0.25">
      <c r="A20" s="97" t="s">
        <v>306</v>
      </c>
      <c r="B20" s="1006">
        <f>G14*H14*10/0.92-G14*H14*10/L14</f>
        <v>48074.534161490679</v>
      </c>
      <c r="C20" s="1007"/>
      <c r="D20" s="1007"/>
      <c r="E20" s="1007"/>
      <c r="F20" s="2"/>
      <c r="O20" s="2"/>
    </row>
    <row r="21" spans="1:15" ht="30" customHeight="1" x14ac:dyDescent="0.25">
      <c r="A21" s="169" t="s">
        <v>8</v>
      </c>
      <c r="B21" s="1086">
        <f>B20/10*I14-G14*H14*10/L14*M18</f>
        <v>3365.2173913043475</v>
      </c>
      <c r="C21" s="1086"/>
      <c r="D21" s="1086"/>
      <c r="E21" s="1086"/>
      <c r="G21" s="167" t="s">
        <v>398</v>
      </c>
      <c r="H21" s="160">
        <v>0</v>
      </c>
    </row>
    <row r="22" spans="1:15" ht="30" customHeight="1" x14ac:dyDescent="0.25">
      <c r="A22" s="169" t="s">
        <v>9</v>
      </c>
      <c r="B22" s="1000"/>
      <c r="C22" s="1000"/>
      <c r="D22" s="1000"/>
      <c r="E22" s="1000"/>
      <c r="G22" s="2"/>
    </row>
    <row r="23" spans="1:15" ht="30" customHeight="1" x14ac:dyDescent="0.25">
      <c r="A23" s="169" t="s">
        <v>301</v>
      </c>
      <c r="B23" s="1016">
        <f>(B17-K14*G14)/(B21+B22)</f>
        <v>2.9715762273901811</v>
      </c>
      <c r="C23" s="1016"/>
      <c r="D23" s="1016"/>
      <c r="E23" s="1016"/>
    </row>
    <row r="24" spans="1:15" ht="30" customHeight="1" x14ac:dyDescent="0.25">
      <c r="A24" s="169" t="s">
        <v>330</v>
      </c>
      <c r="B24" s="1017">
        <f>(B17-B18-K14*G14)/(B21+B22)</f>
        <v>2.9715762273901811</v>
      </c>
      <c r="C24" s="1017"/>
      <c r="D24" s="1017"/>
      <c r="E24" s="1017"/>
    </row>
    <row r="25" spans="1:15" ht="30" customHeight="1" x14ac:dyDescent="0.25">
      <c r="A25" s="100" t="s">
        <v>305</v>
      </c>
      <c r="B25" s="1070">
        <f>B20/1000*H18</f>
        <v>12.8935900621118</v>
      </c>
      <c r="C25" s="1070"/>
      <c r="D25" s="1070"/>
      <c r="E25" s="1070"/>
    </row>
    <row r="26" spans="1:15" ht="30" customHeight="1" x14ac:dyDescent="0.25">
      <c r="A26" s="101" t="s">
        <v>303</v>
      </c>
      <c r="B26" s="1057">
        <f>B25/'[2]Objectifs CO2'!$C$7</f>
        <v>1.4438834085994981E-2</v>
      </c>
      <c r="C26" s="1057"/>
      <c r="D26" s="1057"/>
      <c r="E26" s="1057"/>
    </row>
    <row r="27" spans="1:15" ht="30" customHeight="1" x14ac:dyDescent="0.25">
      <c r="A27" s="101" t="s">
        <v>304</v>
      </c>
      <c r="B27" s="1057">
        <f>B25/'[2]Objectifs CO2'!$C$4</f>
        <v>4.3316502257984947E-3</v>
      </c>
      <c r="C27" s="1057"/>
      <c r="D27" s="1057"/>
      <c r="E27" s="1057"/>
    </row>
    <row r="28" spans="1:15" ht="30" customHeight="1" x14ac:dyDescent="0.25">
      <c r="A28" s="101" t="s">
        <v>22</v>
      </c>
      <c r="B28" s="1085"/>
      <c r="C28" s="1085"/>
      <c r="D28" s="1085"/>
      <c r="E28" s="1085"/>
    </row>
    <row r="29" spans="1:15" ht="30" customHeight="1" x14ac:dyDescent="0.25">
      <c r="A29" s="101" t="s">
        <v>257</v>
      </c>
      <c r="B29" s="999" t="s">
        <v>399</v>
      </c>
      <c r="C29" s="999"/>
      <c r="D29" s="999"/>
      <c r="E29" s="999"/>
    </row>
    <row r="31" spans="1:15" x14ac:dyDescent="0.25">
      <c r="A31" s="603" t="s">
        <v>1065</v>
      </c>
      <c r="B31" s="1003" t="s">
        <v>675</v>
      </c>
      <c r="C31" s="1003"/>
      <c r="D31" s="1003"/>
      <c r="E31" s="56"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8:G10"/>
    <mergeCell ref="B4:E4"/>
    <mergeCell ref="B5:E5"/>
    <mergeCell ref="B6:E6"/>
    <mergeCell ref="B7:E7"/>
    <mergeCell ref="G7:H7"/>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A1:E1"/>
    <mergeCell ref="B2:E2"/>
    <mergeCell ref="B31:D31"/>
    <mergeCell ref="B32:D32"/>
    <mergeCell ref="G32:I32"/>
    <mergeCell ref="B33:D33"/>
    <mergeCell ref="H33:I33"/>
    <mergeCell ref="G40:I40"/>
    <mergeCell ref="B34:D34"/>
    <mergeCell ref="H34:I34"/>
    <mergeCell ref="B35:D35"/>
    <mergeCell ref="H35:I35"/>
    <mergeCell ref="B36:D36"/>
    <mergeCell ref="B20:E20"/>
    <mergeCell ref="B9:E9"/>
    <mergeCell ref="B10:E10"/>
    <mergeCell ref="B11:E11"/>
    <mergeCell ref="B12:E12"/>
    <mergeCell ref="B13:E13"/>
    <mergeCell ref="B14:E14"/>
    <mergeCell ref="B15:E15"/>
    <mergeCell ref="B16:E16"/>
    <mergeCell ref="B17:E17"/>
    <mergeCell ref="B18:E18"/>
    <mergeCell ref="G2:H2"/>
    <mergeCell ref="B3:E3"/>
    <mergeCell ref="G3:H3"/>
    <mergeCell ref="B42:D42"/>
    <mergeCell ref="B44:D44"/>
    <mergeCell ref="B37:D37"/>
    <mergeCell ref="B38:D38"/>
    <mergeCell ref="B39:D39"/>
    <mergeCell ref="B40:D40"/>
    <mergeCell ref="B41:D41"/>
    <mergeCell ref="B19:E19"/>
    <mergeCell ref="B28:E28"/>
    <mergeCell ref="B29:E29"/>
    <mergeCell ref="B21:E21"/>
    <mergeCell ref="B22:E22"/>
    <mergeCell ref="B23:E23"/>
    <mergeCell ref="B24:E24"/>
    <mergeCell ref="B25:E25"/>
    <mergeCell ref="B26:E26"/>
    <mergeCell ref="B27:E27"/>
    <mergeCell ref="B8:E8"/>
    <mergeCell ref="G4:H4"/>
    <mergeCell ref="G5:H5"/>
    <mergeCell ref="G6:H6"/>
  </mergeCells>
  <conditionalFormatting sqref="B5">
    <cfRule type="containsText" dxfId="233" priority="1" operator="containsText" text="Terminé">
      <formula>NOT(ISERROR(SEARCH("Terminé",B5)))</formula>
    </cfRule>
    <cfRule type="containsText" dxfId="232" priority="2" operator="containsText" text="En cours">
      <formula>NOT(ISERROR(SEARCH("En cours",B5)))</formula>
    </cfRule>
    <cfRule type="containsText" dxfId="23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D138"/>
  <sheetViews>
    <sheetView topLeftCell="L3" zoomScaleNormal="100" workbookViewId="0">
      <selection activeCell="N45" sqref="N45"/>
    </sheetView>
  </sheetViews>
  <sheetFormatPr baseColWidth="10" defaultColWidth="11.42578125" defaultRowHeight="15" x14ac:dyDescent="0.25"/>
  <cols>
    <col min="1" max="1" width="10.5703125" style="202" customWidth="1"/>
    <col min="2" max="2" width="20.5703125" style="202" customWidth="1"/>
    <col min="3" max="3" width="18" style="30" customWidth="1"/>
    <col min="4" max="4" width="42.28515625" style="30" customWidth="1"/>
    <col min="5" max="5" width="14.7109375" style="30" customWidth="1"/>
    <col min="6" max="6" width="17.28515625" style="30" customWidth="1"/>
    <col min="7" max="7" width="12.7109375" style="30" customWidth="1"/>
    <col min="8" max="9" width="16.85546875" style="51" customWidth="1"/>
    <col min="10" max="10" width="12.42578125" style="51" bestFit="1" customWidth="1"/>
    <col min="11" max="11" width="12.42578125" style="51" customWidth="1"/>
    <col min="12" max="12" width="11.28515625" style="51" customWidth="1"/>
    <col min="13" max="13" width="11.5703125" style="30" bestFit="1" customWidth="1"/>
    <col min="14" max="14" width="17.42578125" style="30" customWidth="1"/>
    <col min="15" max="15" width="17.42578125" style="30" hidden="1" customWidth="1"/>
    <col min="16" max="16" width="17.42578125" style="30" bestFit="1" customWidth="1"/>
    <col min="17" max="18" width="17.42578125" style="30" customWidth="1"/>
    <col min="19" max="26" width="11.42578125" style="30"/>
    <col min="27" max="27" width="13.85546875" style="289" bestFit="1" customWidth="1"/>
    <col min="28" max="29" width="13.140625" style="289" customWidth="1"/>
    <col min="30" max="30" width="13.85546875" style="289" bestFit="1" customWidth="1"/>
    <col min="31" max="31" width="16" style="289" bestFit="1" customWidth="1"/>
    <col min="32" max="32" width="13.85546875" style="289" bestFit="1" customWidth="1"/>
    <col min="33" max="33" width="11.42578125" style="289"/>
    <col min="34" max="34" width="12.42578125" style="289" bestFit="1" customWidth="1"/>
    <col min="35" max="39" width="11.5703125" style="289" bestFit="1" customWidth="1"/>
    <col min="40" max="40" width="11.42578125" style="289"/>
    <col min="41" max="47" width="15.42578125" style="289" customWidth="1"/>
    <col min="48" max="48" width="11.42578125" style="289"/>
    <col min="49" max="49" width="12.42578125" style="289" bestFit="1" customWidth="1"/>
    <col min="50" max="55" width="11.5703125" style="289" bestFit="1" customWidth="1"/>
    <col min="56" max="56" width="11.42578125" style="289"/>
    <col min="57" max="57" width="12.42578125" style="289" bestFit="1" customWidth="1"/>
    <col min="58" max="63" width="11.5703125" style="289" bestFit="1" customWidth="1"/>
    <col min="64" max="64" width="11.42578125" style="289"/>
    <col min="65" max="65" width="12.42578125" style="289" bestFit="1" customWidth="1"/>
    <col min="66" max="72" width="11.5703125" style="289" bestFit="1" customWidth="1"/>
    <col min="73" max="16384" width="11.42578125" style="30"/>
  </cols>
  <sheetData>
    <row r="1" spans="1:72" s="127" customFormat="1" ht="45" x14ac:dyDescent="0.25">
      <c r="A1" s="128" t="s">
        <v>23</v>
      </c>
      <c r="B1" s="420" t="s">
        <v>766</v>
      </c>
      <c r="C1" s="123" t="s">
        <v>1</v>
      </c>
      <c r="D1" s="123" t="s">
        <v>0</v>
      </c>
      <c r="E1" s="123" t="s">
        <v>24</v>
      </c>
      <c r="F1" s="123" t="s">
        <v>14</v>
      </c>
      <c r="G1" s="123" t="s">
        <v>474</v>
      </c>
      <c r="H1" s="124" t="s">
        <v>25</v>
      </c>
      <c r="I1" s="124" t="s">
        <v>475</v>
      </c>
      <c r="J1" s="124" t="s">
        <v>7</v>
      </c>
      <c r="K1" s="124" t="s">
        <v>8</v>
      </c>
      <c r="L1" s="124" t="s">
        <v>26</v>
      </c>
      <c r="M1" s="123" t="s">
        <v>27</v>
      </c>
      <c r="N1" s="123" t="s">
        <v>62</v>
      </c>
      <c r="O1" s="123"/>
      <c r="P1" s="125" t="s">
        <v>16</v>
      </c>
      <c r="Q1" s="125" t="s">
        <v>5</v>
      </c>
      <c r="R1" s="282" t="s">
        <v>581</v>
      </c>
      <c r="S1" s="126" t="s">
        <v>583</v>
      </c>
      <c r="T1" s="126" t="s">
        <v>584</v>
      </c>
      <c r="U1" s="126" t="s">
        <v>585</v>
      </c>
      <c r="V1" s="126" t="s">
        <v>586</v>
      </c>
      <c r="W1" s="126" t="s">
        <v>587</v>
      </c>
      <c r="X1" s="126" t="s">
        <v>588</v>
      </c>
      <c r="Y1" s="126" t="s">
        <v>589</v>
      </c>
      <c r="AA1" s="131" t="s">
        <v>375</v>
      </c>
      <c r="AB1" s="131" t="s">
        <v>376</v>
      </c>
      <c r="AC1" s="131" t="s">
        <v>377</v>
      </c>
      <c r="AD1" s="131" t="s">
        <v>378</v>
      </c>
      <c r="AE1" s="131" t="s">
        <v>938</v>
      </c>
      <c r="AF1" s="131" t="s">
        <v>379</v>
      </c>
      <c r="AG1" s="132"/>
      <c r="AH1" s="131" t="s">
        <v>375</v>
      </c>
      <c r="AI1" s="131" t="s">
        <v>376</v>
      </c>
      <c r="AJ1" s="131" t="s">
        <v>377</v>
      </c>
      <c r="AK1" s="131" t="s">
        <v>378</v>
      </c>
      <c r="AL1" s="131" t="s">
        <v>938</v>
      </c>
      <c r="AM1" s="131" t="s">
        <v>379</v>
      </c>
      <c r="AN1" s="132"/>
      <c r="AO1" s="131" t="s">
        <v>347</v>
      </c>
      <c r="AP1" s="131" t="s">
        <v>348</v>
      </c>
      <c r="AQ1" s="131" t="s">
        <v>349</v>
      </c>
      <c r="AR1" s="131" t="s">
        <v>350</v>
      </c>
      <c r="AS1" s="131" t="s">
        <v>351</v>
      </c>
      <c r="AT1" s="131" t="s">
        <v>352</v>
      </c>
      <c r="AU1" s="131" t="s">
        <v>597</v>
      </c>
      <c r="AV1" s="132"/>
      <c r="AW1" s="131" t="s">
        <v>354</v>
      </c>
      <c r="AX1" s="131" t="s">
        <v>355</v>
      </c>
      <c r="AY1" s="131" t="s">
        <v>356</v>
      </c>
      <c r="AZ1" s="131" t="s">
        <v>357</v>
      </c>
      <c r="BA1" s="131" t="s">
        <v>358</v>
      </c>
      <c r="BB1" s="131" t="s">
        <v>359</v>
      </c>
      <c r="BC1" s="131" t="s">
        <v>598</v>
      </c>
      <c r="BD1" s="132"/>
      <c r="BE1" s="131" t="s">
        <v>361</v>
      </c>
      <c r="BF1" s="131" t="s">
        <v>599</v>
      </c>
      <c r="BG1" s="131" t="s">
        <v>600</v>
      </c>
      <c r="BH1" s="131" t="s">
        <v>601</v>
      </c>
      <c r="BI1" s="131" t="s">
        <v>602</v>
      </c>
      <c r="BJ1" s="131" t="s">
        <v>603</v>
      </c>
      <c r="BK1" s="131" t="s">
        <v>367</v>
      </c>
      <c r="BL1" s="132"/>
      <c r="BM1" s="131" t="s">
        <v>368</v>
      </c>
      <c r="BN1" s="131" t="s">
        <v>369</v>
      </c>
      <c r="BO1" s="131" t="s">
        <v>370</v>
      </c>
      <c r="BP1" s="131" t="s">
        <v>371</v>
      </c>
      <c r="BQ1" s="131" t="s">
        <v>372</v>
      </c>
      <c r="BR1" s="131" t="s">
        <v>373</v>
      </c>
      <c r="BS1" s="131" t="s">
        <v>374</v>
      </c>
      <c r="BT1" s="131" t="s">
        <v>374</v>
      </c>
    </row>
    <row r="2" spans="1:72" s="139" customFormat="1" x14ac:dyDescent="0.25">
      <c r="A2" s="370" t="s">
        <v>122</v>
      </c>
      <c r="B2" s="414" t="str">
        <f>'ADO-1'!B$3:E$3</f>
        <v>Communication</v>
      </c>
      <c r="C2" s="419" t="str">
        <f>'ADO-1'!$B$8</f>
        <v xml:space="preserve">Information </v>
      </c>
      <c r="D2" s="133" t="str">
        <f>'ADO-1'!$B$9</f>
        <v>Information des citoyens</v>
      </c>
      <c r="E2" s="133" t="str">
        <f>'ADO-1'!$B$4</f>
        <v>Territoire</v>
      </c>
      <c r="F2" s="133" t="str">
        <f>'ADO-1'!$B$12</f>
        <v>AC MESSANCY</v>
      </c>
      <c r="G2" s="133" t="str">
        <f>'ADO-1'!$B$6</f>
        <v>Fonds propres</v>
      </c>
      <c r="H2" s="134">
        <f>'ADO-1'!$B$17</f>
        <v>5000</v>
      </c>
      <c r="I2" s="133" t="str">
        <f>'ADO-1'!$B$7</f>
        <v>Néant</v>
      </c>
      <c r="J2" s="134">
        <f>'ADO-1'!$B$18</f>
        <v>0</v>
      </c>
      <c r="K2" s="134">
        <f>'ADO-1'!$B$21</f>
        <v>1</v>
      </c>
      <c r="L2" s="134">
        <f>'ADO-1'!$B$22</f>
        <v>0</v>
      </c>
      <c r="M2" s="135">
        <f>'ADO-1'!$B$24</f>
        <v>5000</v>
      </c>
      <c r="N2" s="135">
        <f>'ADO-1'!$B$19/1000</f>
        <v>0</v>
      </c>
      <c r="O2" s="136">
        <f t="shared" ref="O2:O13" si="0">IF(H2=0,0,N2/(H2-J2)*1000)</f>
        <v>0</v>
      </c>
      <c r="P2" s="137" t="str">
        <f>'ADO-1'!$B$5</f>
        <v>A faire</v>
      </c>
      <c r="Q2" s="140">
        <f>'ADO-1'!$B$16</f>
        <v>2025</v>
      </c>
      <c r="R2" s="283" t="str">
        <f t="shared" ref="R2:R13" si="1">IF(P2="terminé", N2,"")</f>
        <v/>
      </c>
      <c r="S2" s="138">
        <f t="shared" ref="S2" si="2">IF((P2="Terminé")*AND(E2="Territoire"),N2,0)</f>
        <v>0</v>
      </c>
      <c r="T2" s="138">
        <f t="shared" ref="T2" si="3">IF((P2="Terminé")*AND(E2="Agriculture"),N2,0)</f>
        <v>0</v>
      </c>
      <c r="U2" s="138">
        <f t="shared" ref="U2" si="4">IF((P2="Terminé")*AND(E2="Industrie"), N2,0)</f>
        <v>0</v>
      </c>
      <c r="V2" s="138">
        <f t="shared" ref="V2" si="5">IF((P2="Terminé")*AND(E2="Logement"),N2,0)</f>
        <v>0</v>
      </c>
      <c r="W2" s="138">
        <f t="shared" ref="W2" si="6">IF((P2="Terminé")*AND(E2="Tertiaire"),N2,0)</f>
        <v>0</v>
      </c>
      <c r="X2" s="138">
        <f t="shared" ref="X2" si="7">IF((P2="Terminé")*AND(E2="Transport"),N2,0)</f>
        <v>0</v>
      </c>
      <c r="Y2" s="138">
        <f t="shared" ref="Y2" si="8">IF((P2="Terminé")*AND(E2="Communal"),N2,0)</f>
        <v>0</v>
      </c>
      <c r="AA2" s="287">
        <f>IF(('Synthèse PER'!P2="A faire")*AND('Synthèse PER'!F2="Agriculture"),'Synthèse PER'!H2,0)</f>
        <v>0</v>
      </c>
      <c r="AB2" s="287">
        <f>IF(('Synthèse PER'!P2="A faire")*AND('Synthèse PER'!F2="Industrie"),'Synthèse PER'!H2,0)</f>
        <v>0</v>
      </c>
      <c r="AC2" s="287">
        <f>IF(('Synthèse PER'!P2="A faire")*AND('Synthèse PER'!F2="Citoyen"),'Synthèse PER'!H2,0)</f>
        <v>0</v>
      </c>
      <c r="AD2" s="287">
        <f>IF(('Synthèse PER'!P2="A faire")*AND('Synthèse PER'!F2="IDELUX"),'Synthèse PER'!H2,0)</f>
        <v>0</v>
      </c>
      <c r="AE2" s="290">
        <f>IF(('Synthèse PER'!P2="A faire")*AND('Synthèse PER'!F2="AC MESSANCY"),'Synthèse PER'!H2,0)</f>
        <v>5000</v>
      </c>
      <c r="AF2" s="287">
        <f>IF(('Synthèse PER'!P2="A faire")*AND('Synthèse PER'!F2="Tertiaire"),'Synthèse PER'!H2,0)</f>
        <v>0</v>
      </c>
      <c r="AG2" s="288"/>
      <c r="AH2" s="290">
        <f>IF(('Synthèse PER'!P2="A faire")*AND('Synthèse PER'!F2="Agriculture"),'Synthèse PER'!J2,0)</f>
        <v>0</v>
      </c>
      <c r="AI2" s="290">
        <f>IF(('Synthèse PER'!P2="A faire")*AND('Synthèse PER'!F2="Industrie"),'Synthèse PER'!J2,0)</f>
        <v>0</v>
      </c>
      <c r="AJ2" s="290">
        <f>IF(('Synthèse PER'!P2="A faire")*AND('Synthèse PER'!F2="Citoyen"),'Synthèse PER'!J2,0)</f>
        <v>0</v>
      </c>
      <c r="AK2" s="290">
        <f>IF(('Synthèse PER'!P2="A faire")*AND('Synthèse PER'!F2="IDELUX"),'Synthèse PER'!J2,0)</f>
        <v>0</v>
      </c>
      <c r="AL2" s="290">
        <f>IF(('Synthèse PER'!P2="A faire")*AND('Synthèse PER'!F2="AC MESSANCY"),'Synthèse PER'!J2,0)</f>
        <v>0</v>
      </c>
      <c r="AM2" s="290">
        <f>IF(('Synthèse PER'!P2="A faire")*AND('Synthèse PER'!F2="Tertiaire"),'Synthèse PER'!J2,0)</f>
        <v>0</v>
      </c>
      <c r="AN2" s="288"/>
      <c r="AO2" s="290">
        <f>IF(('Synthèse PER'!P2="A faire")*AND('Synthèse PER'!E2="Territoire"),'Synthèse PER'!H2,0)</f>
        <v>5000</v>
      </c>
      <c r="AP2" s="290">
        <f>IF(('Synthèse PER'!P2="A faire")*AND('Synthèse PER'!E2="Agriculture"),'Synthèse PER'!H2,0)</f>
        <v>0</v>
      </c>
      <c r="AQ2" s="290">
        <f>IF(('Synthèse PER'!P2="A faire")*AND('Synthèse PER'!E2="Industrie"),'Synthèse PER'!H2,0)</f>
        <v>0</v>
      </c>
      <c r="AR2" s="290">
        <f>IF(('Synthèse PER'!P2="A faire")*AND('Synthèse PER'!E2="Logement"),'Synthèse PER'!H2,0)</f>
        <v>0</v>
      </c>
      <c r="AS2" s="290">
        <f>IF(('Synthèse PER'!P2="A faire")*AND('Synthèse PER'!E2="Tertiaire"),'Synthèse PER'!H2,0)</f>
        <v>0</v>
      </c>
      <c r="AT2" s="290">
        <f>IF(('Synthèse PER'!P2="A faire")*AND('Synthèse PER'!E2="Transport"),'Synthèse PER'!H2,0)</f>
        <v>0</v>
      </c>
      <c r="AU2" s="290">
        <f>IF(('Synthèse PER'!P2="A faire")*AND('Synthèse PER'!E2="Communal"),'Synthèse PER'!H2,0)</f>
        <v>0</v>
      </c>
      <c r="AV2" s="288"/>
      <c r="AW2" s="290">
        <f>IF(('Synthèse PER'!P2="A faire")*AND('Synthèse PER'!E2="Territoire"),'Synthèse PER'!J2,0)</f>
        <v>0</v>
      </c>
      <c r="AX2" s="290">
        <f>IF(('Synthèse PER'!P2="A faire")*AND('Synthèse PER'!E2="Agriculture"),'Synthèse PER'!J2,0)</f>
        <v>0</v>
      </c>
      <c r="AY2" s="290">
        <f>IF(('Synthèse PER'!P2="A faire")*AND('Synthèse PER'!E2="Industrie"),'Synthèse PER'!J2,0)</f>
        <v>0</v>
      </c>
      <c r="AZ2" s="290">
        <f>IF(('Synthèse PER'!P2="A faire")*AND('Synthèse PER'!E2="Logement"),'Synthèse PER'!J2,0)</f>
        <v>0</v>
      </c>
      <c r="BA2" s="290">
        <f>IF(('Synthèse PER'!P2="A faire")*AND('Synthèse PER'!E2="Tertiaire"),'Synthèse PER'!J2,0)</f>
        <v>0</v>
      </c>
      <c r="BB2" s="290">
        <f>IF(('Synthèse PER'!P2="A faire")*AND('Synthèse PER'!E2="Transport"),'Synthèse PER'!J2,0)</f>
        <v>0</v>
      </c>
      <c r="BC2" s="290">
        <f>IF(('Synthèse PER'!P2="A faire")*AND('Synthèse PER'!E2="Communal"),'Synthèse PER'!J2,0)</f>
        <v>0</v>
      </c>
      <c r="BD2" s="288"/>
      <c r="BE2" s="290">
        <f>IF(('Synthèse PER'!P2="A faire")*AND('Synthèse PER'!E2="Territoire"),'Synthèse PER'!K2,0)</f>
        <v>1</v>
      </c>
      <c r="BF2" s="290">
        <f>IF(('Synthèse PER'!P2="A faire")*AND('Synthèse PER'!E2="Agriculture"),'Synthèse PER'!K2,0)</f>
        <v>0</v>
      </c>
      <c r="BG2" s="290">
        <f>IF(('Synthèse PER'!P2="A faire")*AND('Synthèse PER'!E2="Industrie"),'Synthèse PER'!K2,0)</f>
        <v>0</v>
      </c>
      <c r="BH2" s="290">
        <f>IF(('Synthèse PER'!P2="A faire")*AND('Synthèse PER'!E2="Logement"),'Synthèse PER'!K2,0)</f>
        <v>0</v>
      </c>
      <c r="BI2" s="290">
        <f>IF(('Synthèse PER'!P2="A faire")*AND('Synthèse PER'!E2="Tertiaire"),'Synthèse PER'!K2,0)</f>
        <v>0</v>
      </c>
      <c r="BJ2" s="290">
        <f>IF(('Synthèse PER'!P2="A faire")*AND('Synthèse PER'!E2="Transport"),'Synthèse PER'!K2,0)</f>
        <v>0</v>
      </c>
      <c r="BK2" s="290">
        <f>IF(('Synthèse PER'!P2="A faire")*AND('Synthèse PER'!E2="Communal"),'Synthèse PER'!K2,0)</f>
        <v>0</v>
      </c>
      <c r="BL2" s="288"/>
      <c r="BM2" s="290">
        <f>IF(('Synthèse PER'!P2="A faire")*AND('Synthèse PER'!E2="Territoire"),'Synthèse PER'!L2,0)</f>
        <v>0</v>
      </c>
      <c r="BN2" s="290">
        <f>IF(('Synthèse PER'!P2="A faire")*AND('Synthèse PER'!E2="Agriculture"),'Synthèse PER'!L2,0)</f>
        <v>0</v>
      </c>
      <c r="BO2" s="290">
        <f>IF(('Synthèse PER'!P2="A faire")*AND('Synthèse PER'!E2="Industrie"),'Synthèse PER'!L2,0)</f>
        <v>0</v>
      </c>
      <c r="BP2" s="290">
        <f>IF(('Synthèse PER'!P2="A faire")*AND('Synthèse PER'!E2="Logement"),'Synthèse PER'!L2,0)</f>
        <v>0</v>
      </c>
      <c r="BQ2" s="290">
        <f>IF(('Synthèse PER'!P2="A faire")*AND('Synthèse PER'!E2="Tertiaire"),'Synthèse PER'!L2,0)</f>
        <v>0</v>
      </c>
      <c r="BR2" s="290">
        <f>IF(('Synthèse PER'!P2="A faire")*AND('Synthèse PER'!E2="Transport"),'Synthèse PER'!L2,0)</f>
        <v>0</v>
      </c>
      <c r="BS2" s="290">
        <f>IF(('Synthèse PER'!P2="A faire")*AND('Synthèse PER'!E2="Communal"),'Synthèse PER'!L2,0)</f>
        <v>0</v>
      </c>
      <c r="BT2" s="290">
        <f>IF(('Synthèse PER'!Q2="A faire")*AND('Synthèse PER'!F2="Communal"),'Synthèse PER'!M2,0)</f>
        <v>0</v>
      </c>
    </row>
    <row r="3" spans="1:72" s="139" customFormat="1" x14ac:dyDescent="0.25">
      <c r="A3" s="370" t="s">
        <v>123</v>
      </c>
      <c r="B3" s="414" t="str">
        <f>'ADO-2'!B$3:E$3</f>
        <v>Communication</v>
      </c>
      <c r="C3" s="419" t="str">
        <f>'ADO-2'!$B$8</f>
        <v>Sensibilisation</v>
      </c>
      <c r="D3" s="133" t="str">
        <f>'ADO-2'!$B$9</f>
        <v>Enjeux du réchauffement climatique</v>
      </c>
      <c r="E3" s="133" t="str">
        <f>'ADO-2'!$B$4</f>
        <v>Territoire</v>
      </c>
      <c r="F3" s="133" t="str">
        <f>'ADO-2'!$B$12</f>
        <v>AC MESSANCY</v>
      </c>
      <c r="G3" s="133" t="str">
        <f>'ADO-2'!$B$6</f>
        <v>Fonds propres</v>
      </c>
      <c r="H3" s="134">
        <f>'ADO-2'!$B$17</f>
        <v>5000</v>
      </c>
      <c r="I3" s="133" t="str">
        <f>'ADO-2'!$B$7</f>
        <v>Néant</v>
      </c>
      <c r="J3" s="134">
        <f>'ADO-2'!$B$18</f>
        <v>0</v>
      </c>
      <c r="K3" s="134">
        <f>'ADO-2'!$B$21</f>
        <v>1</v>
      </c>
      <c r="L3" s="134">
        <f>'ADO-2'!$B$22</f>
        <v>0</v>
      </c>
      <c r="M3" s="135">
        <f>'ADO-2'!$B$24</f>
        <v>5000</v>
      </c>
      <c r="N3" s="135">
        <f>'ADO-2'!$B$19/1000</f>
        <v>0</v>
      </c>
      <c r="O3" s="136">
        <f t="shared" si="0"/>
        <v>0</v>
      </c>
      <c r="P3" s="137" t="str">
        <f>'ADO-2'!$B$5</f>
        <v>A faire</v>
      </c>
      <c r="Q3" s="140">
        <f>'ADO-2'!$B$16</f>
        <v>2030</v>
      </c>
      <c r="R3" s="283" t="str">
        <f t="shared" si="1"/>
        <v/>
      </c>
      <c r="S3" s="138">
        <f t="shared" ref="S3:S86" si="9">IF((P3="Terminé")*AND(E3="Territoire"),N3,0)</f>
        <v>0</v>
      </c>
      <c r="T3" s="138">
        <f t="shared" ref="T3:T86" si="10">IF((P3="Terminé")*AND(E3="Agriculture"),N3,0)</f>
        <v>0</v>
      </c>
      <c r="U3" s="138">
        <f t="shared" ref="U3:U86" si="11">IF((P3="Terminé")*AND(E3="Industrie"), N3,0)</f>
        <v>0</v>
      </c>
      <c r="V3" s="138">
        <f t="shared" ref="V3:V86" si="12">IF((P3="Terminé")*AND(E3="Logement"),N3,0)</f>
        <v>0</v>
      </c>
      <c r="W3" s="138">
        <f t="shared" ref="W3:W86" si="13">IF((P3="Terminé")*AND(E3="Tertiaire"),N3,0)</f>
        <v>0</v>
      </c>
      <c r="X3" s="138">
        <f t="shared" ref="X3:X86" si="14">IF((P3="Terminé")*AND(E3="Transport"),N3,0)</f>
        <v>0</v>
      </c>
      <c r="Y3" s="138">
        <f t="shared" ref="Y3:Y86" si="15">IF((P3="Terminé")*AND(E3="Communal"),N3,0)</f>
        <v>0</v>
      </c>
      <c r="AA3" s="287">
        <f>IF(('Synthèse PER'!P3="A faire")*AND('Synthèse PER'!F3="Agriculture"),'Synthèse PER'!H3,0)</f>
        <v>0</v>
      </c>
      <c r="AB3" s="287">
        <f>IF(('Synthèse PER'!P3="A faire")*AND('Synthèse PER'!F3="Industrie"),'Synthèse PER'!H3,0)</f>
        <v>0</v>
      </c>
      <c r="AC3" s="287">
        <f>IF(('Synthèse PER'!P3="A faire")*AND('Synthèse PER'!F3="Citoyen"),'Synthèse PER'!H3,0)</f>
        <v>0</v>
      </c>
      <c r="AD3" s="287">
        <f>IF(('Synthèse PER'!P3="A faire")*AND('Synthèse PER'!F3="IDELUX"),'Synthèse PER'!H3,0)</f>
        <v>0</v>
      </c>
      <c r="AE3" s="290">
        <f>IF(('Synthèse PER'!P3="A faire")*AND('Synthèse PER'!F3="AC MESSANCY"),'Synthèse PER'!H3,0)</f>
        <v>5000</v>
      </c>
      <c r="AF3" s="287">
        <f>IF(('Synthèse PER'!P3="A faire")*AND('Synthèse PER'!F3="Tertiaire"),'Synthèse PER'!H3,0)</f>
        <v>0</v>
      </c>
      <c r="AG3" s="288"/>
      <c r="AH3" s="290">
        <f>IF(('Synthèse PER'!P3="A faire")*AND('Synthèse PER'!F3="Agriculture"),'Synthèse PER'!J3,0)</f>
        <v>0</v>
      </c>
      <c r="AI3" s="290">
        <f>IF(('Synthèse PER'!P3="A faire")*AND('Synthèse PER'!F3="Industrie"),'Synthèse PER'!J3,0)</f>
        <v>0</v>
      </c>
      <c r="AJ3" s="290">
        <f>IF(('Synthèse PER'!P3="A faire")*AND('Synthèse PER'!F3="Citoyen"),'Synthèse PER'!J3,0)</f>
        <v>0</v>
      </c>
      <c r="AK3" s="290">
        <f>IF(('Synthèse PER'!P3="A faire")*AND('Synthèse PER'!F3="IDELUX"),'Synthèse PER'!J3,0)</f>
        <v>0</v>
      </c>
      <c r="AL3" s="290">
        <f>IF(('Synthèse PER'!P3="A faire")*AND('Synthèse PER'!F3="AC MESSANCY"),'Synthèse PER'!J3,0)</f>
        <v>0</v>
      </c>
      <c r="AM3" s="290">
        <f>IF(('Synthèse PER'!P3="A faire")*AND('Synthèse PER'!F3="Tertiaire"),'Synthèse PER'!J3,0)</f>
        <v>0</v>
      </c>
      <c r="AN3" s="288"/>
      <c r="AO3" s="290">
        <f>IF(('Synthèse PER'!P3="A faire")*AND('Synthèse PER'!E3="Territoire"),'Synthèse PER'!H3,0)</f>
        <v>5000</v>
      </c>
      <c r="AP3" s="290">
        <f>IF(('Synthèse PER'!P3="A faire")*AND('Synthèse PER'!E3="Agriculture"),'Synthèse PER'!H3,0)</f>
        <v>0</v>
      </c>
      <c r="AQ3" s="290">
        <f>IF(('Synthèse PER'!P3="A faire")*AND('Synthèse PER'!E3="Industrie"),'Synthèse PER'!H3,0)</f>
        <v>0</v>
      </c>
      <c r="AR3" s="290">
        <f>IF(('Synthèse PER'!P3="A faire")*AND('Synthèse PER'!E3="Logement"),'Synthèse PER'!H3,0)</f>
        <v>0</v>
      </c>
      <c r="AS3" s="290">
        <f>IF(('Synthèse PER'!P3="A faire")*AND('Synthèse PER'!E3="Tertiaire"),'Synthèse PER'!H3,0)</f>
        <v>0</v>
      </c>
      <c r="AT3" s="290">
        <f>IF(('Synthèse PER'!P3="A faire")*AND('Synthèse PER'!E3="Transport"),'Synthèse PER'!H3,0)</f>
        <v>0</v>
      </c>
      <c r="AU3" s="290">
        <f>IF(('Synthèse PER'!P3="A faire")*AND('Synthèse PER'!E3="Communal"),'Synthèse PER'!H3,0)</f>
        <v>0</v>
      </c>
      <c r="AV3" s="288"/>
      <c r="AW3" s="290">
        <f>IF(('Synthèse PER'!P3="A faire")*AND('Synthèse PER'!E3="Territoire"),'Synthèse PER'!J3,0)</f>
        <v>0</v>
      </c>
      <c r="AX3" s="290">
        <f>IF(('Synthèse PER'!P3="A faire")*AND('Synthèse PER'!E3="Agriculture"),'Synthèse PER'!J3,0)</f>
        <v>0</v>
      </c>
      <c r="AY3" s="290">
        <f>IF(('Synthèse PER'!P3="A faire")*AND('Synthèse PER'!E3="Industrie"),'Synthèse PER'!J3,0)</f>
        <v>0</v>
      </c>
      <c r="AZ3" s="290">
        <f>IF(('Synthèse PER'!P3="A faire")*AND('Synthèse PER'!E3="Logement"),'Synthèse PER'!J3,0)</f>
        <v>0</v>
      </c>
      <c r="BA3" s="290">
        <f>IF(('Synthèse PER'!P3="A faire")*AND('Synthèse PER'!E3="Tertiaire"),'Synthèse PER'!J3,0)</f>
        <v>0</v>
      </c>
      <c r="BB3" s="290">
        <f>IF(('Synthèse PER'!P3="A faire")*AND('Synthèse PER'!E3="Transport"),'Synthèse PER'!J3,0)</f>
        <v>0</v>
      </c>
      <c r="BC3" s="290">
        <f>IF(('Synthèse PER'!P3="A faire")*AND('Synthèse PER'!E3="Communal"),'Synthèse PER'!J3,0)</f>
        <v>0</v>
      </c>
      <c r="BD3" s="288"/>
      <c r="BE3" s="290">
        <f>IF(('Synthèse PER'!P3="A faire")*AND('Synthèse PER'!E3="Territoire"),'Synthèse PER'!K3,0)</f>
        <v>1</v>
      </c>
      <c r="BF3" s="290">
        <f>IF(('Synthèse PER'!P3="A faire")*AND('Synthèse PER'!E3="Agriculture"),'Synthèse PER'!K3,0)</f>
        <v>0</v>
      </c>
      <c r="BG3" s="290">
        <f>IF(('Synthèse PER'!P3="A faire")*AND('Synthèse PER'!E3="Industrie"),'Synthèse PER'!K3,0)</f>
        <v>0</v>
      </c>
      <c r="BH3" s="290">
        <f>IF(('Synthèse PER'!P3="A faire")*AND('Synthèse PER'!E3="Logement"),'Synthèse PER'!K3,0)</f>
        <v>0</v>
      </c>
      <c r="BI3" s="290">
        <f>IF(('Synthèse PER'!P3="A faire")*AND('Synthèse PER'!E3="Tertiaire"),'Synthèse PER'!K3,0)</f>
        <v>0</v>
      </c>
      <c r="BJ3" s="290">
        <f>IF(('Synthèse PER'!P3="A faire")*AND('Synthèse PER'!E3="Transport"),'Synthèse PER'!K3,0)</f>
        <v>0</v>
      </c>
      <c r="BK3" s="290">
        <f>IF(('Synthèse PER'!P3="A faire")*AND('Synthèse PER'!E3="Communal"),'Synthèse PER'!K3,0)</f>
        <v>0</v>
      </c>
      <c r="BL3" s="288"/>
      <c r="BM3" s="290">
        <f>IF(('Synthèse PER'!P3="A faire")*AND('Synthèse PER'!E3="Territoire"),'Synthèse PER'!L3,0)</f>
        <v>0</v>
      </c>
      <c r="BN3" s="290">
        <f>IF(('Synthèse PER'!P3="A faire")*AND('Synthèse PER'!E3="Agriculture"),'Synthèse PER'!L3,0)</f>
        <v>0</v>
      </c>
      <c r="BO3" s="290">
        <f>IF(('Synthèse PER'!P3="A faire")*AND('Synthèse PER'!E3="Industrie"),'Synthèse PER'!L3,0)</f>
        <v>0</v>
      </c>
      <c r="BP3" s="290">
        <f>IF(('Synthèse PER'!P3="A faire")*AND('Synthèse PER'!E3="Logement"),'Synthèse PER'!L3,0)</f>
        <v>0</v>
      </c>
      <c r="BQ3" s="290">
        <f>IF(('Synthèse PER'!P3="A faire")*AND('Synthèse PER'!E3="Tertiaire"),'Synthèse PER'!L3,0)</f>
        <v>0</v>
      </c>
      <c r="BR3" s="290">
        <f>IF(('Synthèse PER'!P3="A faire")*AND('Synthèse PER'!E3="Transport"),'Synthèse PER'!L3,0)</f>
        <v>0</v>
      </c>
      <c r="BS3" s="290">
        <f>IF(('Synthèse PER'!P3="A faire")*AND('Synthèse PER'!E3="Communal"),'Synthèse PER'!L3,0)</f>
        <v>0</v>
      </c>
      <c r="BT3" s="290">
        <f>IF(('Synthèse PER'!Q3="A faire")*AND('Synthèse PER'!F3="Communal"),'Synthèse PER'!M3,0)</f>
        <v>0</v>
      </c>
    </row>
    <row r="4" spans="1:72" s="139" customFormat="1" x14ac:dyDescent="0.25">
      <c r="A4" s="370" t="s">
        <v>78</v>
      </c>
      <c r="B4" s="414" t="str">
        <f>'ADO-3'!B$3:E$3</f>
        <v>Communication</v>
      </c>
      <c r="C4" s="419" t="str">
        <f>'ADO-3'!$B$8</f>
        <v>Formation et Information</v>
      </c>
      <c r="D4" s="133" t="str">
        <f>'ADO-3'!$B$9</f>
        <v>Economie d'énergies en milieu scolaire</v>
      </c>
      <c r="E4" s="133" t="str">
        <f>'ADO-3'!$B$4</f>
        <v>Communal</v>
      </c>
      <c r="F4" s="133" t="str">
        <f>'ADO-3'!$B$12</f>
        <v>AC MESSANCY</v>
      </c>
      <c r="G4" s="133" t="str">
        <f>'ADO-3'!$B$6</f>
        <v>Fonds propres</v>
      </c>
      <c r="H4" s="134">
        <f>'ADO-3'!$B$17</f>
        <v>10000</v>
      </c>
      <c r="I4" s="133" t="str">
        <f>'ADO-3'!$B$7</f>
        <v>Néant</v>
      </c>
      <c r="J4" s="134">
        <f>'ADO-3'!$B$18</f>
        <v>0</v>
      </c>
      <c r="K4" s="134">
        <f>'ADO-3'!$B$21</f>
        <v>12074.903473522123</v>
      </c>
      <c r="L4" s="134">
        <f>'ADO-3'!$B$22</f>
        <v>0</v>
      </c>
      <c r="M4" s="135">
        <f>'ADO-3'!$B$24</f>
        <v>0.82816397016572629</v>
      </c>
      <c r="N4" s="135">
        <f>'ADO-3'!$B$19/1000</f>
        <v>144.02156136761062</v>
      </c>
      <c r="O4" s="136">
        <f t="shared" si="0"/>
        <v>14.402156136761063</v>
      </c>
      <c r="P4" s="137" t="str">
        <f>'ADO-3'!$B$5</f>
        <v>A faire</v>
      </c>
      <c r="Q4" s="140">
        <f>'ADO-3'!$B$16</f>
        <v>2030</v>
      </c>
      <c r="R4" s="283" t="str">
        <f t="shared" si="1"/>
        <v/>
      </c>
      <c r="S4" s="138">
        <f t="shared" si="9"/>
        <v>0</v>
      </c>
      <c r="T4" s="138">
        <f t="shared" si="10"/>
        <v>0</v>
      </c>
      <c r="U4" s="138">
        <f t="shared" si="11"/>
        <v>0</v>
      </c>
      <c r="V4" s="138">
        <f t="shared" si="12"/>
        <v>0</v>
      </c>
      <c r="W4" s="138">
        <f t="shared" si="13"/>
        <v>0</v>
      </c>
      <c r="X4" s="138">
        <f t="shared" si="14"/>
        <v>0</v>
      </c>
      <c r="Y4" s="138">
        <f t="shared" si="15"/>
        <v>0</v>
      </c>
      <c r="AA4" s="287">
        <f>IF(('Synthèse PER'!P4="A faire")*AND('Synthèse PER'!F4="Agriculture"),'Synthèse PER'!H4,0)</f>
        <v>0</v>
      </c>
      <c r="AB4" s="287">
        <f>IF(('Synthèse PER'!P4="A faire")*AND('Synthèse PER'!F4="Industrie"),'Synthèse PER'!H4,0)</f>
        <v>0</v>
      </c>
      <c r="AC4" s="287">
        <f>IF(('Synthèse PER'!P4="A faire")*AND('Synthèse PER'!F4="Citoyen"),'Synthèse PER'!H4,0)</f>
        <v>0</v>
      </c>
      <c r="AD4" s="287">
        <f>IF(('Synthèse PER'!P4="A faire")*AND('Synthèse PER'!F4="IDELUX"),'Synthèse PER'!H4,0)</f>
        <v>0</v>
      </c>
      <c r="AE4" s="290">
        <f>IF(('Synthèse PER'!P4="A faire")*AND('Synthèse PER'!F4="AC MESSANCY"),'Synthèse PER'!H4,0)</f>
        <v>10000</v>
      </c>
      <c r="AF4" s="287">
        <f>IF(('Synthèse PER'!P4="A faire")*AND('Synthèse PER'!F4="Tertiaire"),'Synthèse PER'!H4,0)</f>
        <v>0</v>
      </c>
      <c r="AG4" s="288"/>
      <c r="AH4" s="290">
        <f>IF(('Synthèse PER'!P4="A faire")*AND('Synthèse PER'!F4="Agriculture"),'Synthèse PER'!J4,0)</f>
        <v>0</v>
      </c>
      <c r="AI4" s="290">
        <f>IF(('Synthèse PER'!P4="A faire")*AND('Synthèse PER'!F4="Industrie"),'Synthèse PER'!J4,0)</f>
        <v>0</v>
      </c>
      <c r="AJ4" s="290">
        <f>IF(('Synthèse PER'!P4="A faire")*AND('Synthèse PER'!F4="Citoyen"),'Synthèse PER'!J4,0)</f>
        <v>0</v>
      </c>
      <c r="AK4" s="290">
        <f>IF(('Synthèse PER'!P4="A faire")*AND('Synthèse PER'!F4="IDELUX"),'Synthèse PER'!J4,0)</f>
        <v>0</v>
      </c>
      <c r="AL4" s="290">
        <f>IF(('Synthèse PER'!P4="A faire")*AND('Synthèse PER'!F4="AC MESSANCY"),'Synthèse PER'!J4,0)</f>
        <v>0</v>
      </c>
      <c r="AM4" s="290">
        <f>IF(('Synthèse PER'!P4="A faire")*AND('Synthèse PER'!F4="Tertiaire"),'Synthèse PER'!J4,0)</f>
        <v>0</v>
      </c>
      <c r="AN4" s="288"/>
      <c r="AO4" s="290">
        <f>IF(('Synthèse PER'!P4="A faire")*AND('Synthèse PER'!E4="Territoire"),'Synthèse PER'!H4,0)</f>
        <v>0</v>
      </c>
      <c r="AP4" s="290">
        <f>IF(('Synthèse PER'!P4="A faire")*AND('Synthèse PER'!E4="Agriculture"),'Synthèse PER'!H4,0)</f>
        <v>0</v>
      </c>
      <c r="AQ4" s="290">
        <f>IF(('Synthèse PER'!P4="A faire")*AND('Synthèse PER'!E4="Industrie"),'Synthèse PER'!H4,0)</f>
        <v>0</v>
      </c>
      <c r="AR4" s="290">
        <f>IF(('Synthèse PER'!P4="A faire")*AND('Synthèse PER'!E4="Logement"),'Synthèse PER'!H4,0)</f>
        <v>0</v>
      </c>
      <c r="AS4" s="290">
        <f>IF(('Synthèse PER'!P4="A faire")*AND('Synthèse PER'!E4="Tertiaire"),'Synthèse PER'!H4,0)</f>
        <v>0</v>
      </c>
      <c r="AT4" s="290">
        <f>IF(('Synthèse PER'!P4="A faire")*AND('Synthèse PER'!E4="Transport"),'Synthèse PER'!H4,0)</f>
        <v>0</v>
      </c>
      <c r="AU4" s="290">
        <f>IF(('Synthèse PER'!P4="A faire")*AND('Synthèse PER'!E4="Communal"),'Synthèse PER'!H4,0)</f>
        <v>10000</v>
      </c>
      <c r="AV4" s="288"/>
      <c r="AW4" s="290">
        <f>IF(('Synthèse PER'!P4="A faire")*AND('Synthèse PER'!E4="Territoire"),'Synthèse PER'!J4,0)</f>
        <v>0</v>
      </c>
      <c r="AX4" s="290">
        <f>IF(('Synthèse PER'!P4="A faire")*AND('Synthèse PER'!E4="Agriculture"),'Synthèse PER'!J4,0)</f>
        <v>0</v>
      </c>
      <c r="AY4" s="290">
        <f>IF(('Synthèse PER'!P4="A faire")*AND('Synthèse PER'!E4="Industrie"),'Synthèse PER'!J4,0)</f>
        <v>0</v>
      </c>
      <c r="AZ4" s="290">
        <f>IF(('Synthèse PER'!P4="A faire")*AND('Synthèse PER'!E4="Logement"),'Synthèse PER'!J4,0)</f>
        <v>0</v>
      </c>
      <c r="BA4" s="290">
        <f>IF(('Synthèse PER'!P4="A faire")*AND('Synthèse PER'!E4="Tertiaire"),'Synthèse PER'!J4,0)</f>
        <v>0</v>
      </c>
      <c r="BB4" s="290">
        <f>IF(('Synthèse PER'!P4="A faire")*AND('Synthèse PER'!E4="Transport"),'Synthèse PER'!J4,0)</f>
        <v>0</v>
      </c>
      <c r="BC4" s="290">
        <f>IF(('Synthèse PER'!P4="A faire")*AND('Synthèse PER'!E4="Communal"),'Synthèse PER'!J4,0)</f>
        <v>0</v>
      </c>
      <c r="BD4" s="288"/>
      <c r="BE4" s="290">
        <f>IF(('Synthèse PER'!P4="A faire")*AND('Synthèse PER'!E4="Territoire"),'Synthèse PER'!K4,0)</f>
        <v>0</v>
      </c>
      <c r="BF4" s="290">
        <f>IF(('Synthèse PER'!P4="A faire")*AND('Synthèse PER'!E4="Agriculture"),'Synthèse PER'!K4,0)</f>
        <v>0</v>
      </c>
      <c r="BG4" s="290">
        <f>IF(('Synthèse PER'!P4="A faire")*AND('Synthèse PER'!E4="Industrie"),'Synthèse PER'!K4,0)</f>
        <v>0</v>
      </c>
      <c r="BH4" s="290">
        <f>IF(('Synthèse PER'!P4="A faire")*AND('Synthèse PER'!E4="Logement"),'Synthèse PER'!K4,0)</f>
        <v>0</v>
      </c>
      <c r="BI4" s="290">
        <f>IF(('Synthèse PER'!P4="A faire")*AND('Synthèse PER'!E4="Tertiaire"),'Synthèse PER'!K4,0)</f>
        <v>0</v>
      </c>
      <c r="BJ4" s="290">
        <f>IF(('Synthèse PER'!P4="A faire")*AND('Synthèse PER'!E4="Transport"),'Synthèse PER'!K4,0)</f>
        <v>0</v>
      </c>
      <c r="BK4" s="290">
        <f>IF(('Synthèse PER'!P4="A faire")*AND('Synthèse PER'!E4="Communal"),'Synthèse PER'!K4,0)</f>
        <v>12074.903473522123</v>
      </c>
      <c r="BL4" s="288"/>
      <c r="BM4" s="290">
        <f>IF(('Synthèse PER'!P4="A faire")*AND('Synthèse PER'!E4="Territoire"),'Synthèse PER'!L4,0)</f>
        <v>0</v>
      </c>
      <c r="BN4" s="290">
        <f>IF(('Synthèse PER'!P4="A faire")*AND('Synthèse PER'!E4="Agriculture"),'Synthèse PER'!L4,0)</f>
        <v>0</v>
      </c>
      <c r="BO4" s="290">
        <f>IF(('Synthèse PER'!P4="A faire")*AND('Synthèse PER'!E4="Industrie"),'Synthèse PER'!L4,0)</f>
        <v>0</v>
      </c>
      <c r="BP4" s="290">
        <f>IF(('Synthèse PER'!P4="A faire")*AND('Synthèse PER'!E4="Logement"),'Synthèse PER'!L4,0)</f>
        <v>0</v>
      </c>
      <c r="BQ4" s="290">
        <f>IF(('Synthèse PER'!P4="A faire")*AND('Synthèse PER'!E4="Tertiaire"),'Synthèse PER'!L4,0)</f>
        <v>0</v>
      </c>
      <c r="BR4" s="290">
        <f>IF(('Synthèse PER'!P4="A faire")*AND('Synthèse PER'!E4="Transport"),'Synthèse PER'!L4,0)</f>
        <v>0</v>
      </c>
      <c r="BS4" s="290">
        <f>IF(('Synthèse PER'!P4="A faire")*AND('Synthèse PER'!E4="Communal"),'Synthèse PER'!L4,0)</f>
        <v>0</v>
      </c>
      <c r="BT4" s="290">
        <f>IF(('Synthèse PER'!Q4="A faire")*AND('Synthèse PER'!F4="Communal"),'Synthèse PER'!M4,0)</f>
        <v>0</v>
      </c>
    </row>
    <row r="5" spans="1:72" s="139" customFormat="1" x14ac:dyDescent="0.25">
      <c r="A5" s="370" t="s">
        <v>126</v>
      </c>
      <c r="B5" s="414" t="str">
        <f>'ADO-4'!B$3:E$3</f>
        <v>Communication</v>
      </c>
      <c r="C5" s="419" t="str">
        <f>'ADO-4'!$B$8</f>
        <v>Agriculteurs</v>
      </c>
      <c r="D5" s="133" t="str">
        <f>'ADO-4'!$B$9</f>
        <v>Informations aux agriculteurs</v>
      </c>
      <c r="E5" s="133" t="str">
        <f>'ADO-4'!$B$4</f>
        <v>Agriculture</v>
      </c>
      <c r="F5" s="133" t="str">
        <f>'ADO-4'!$B$12</f>
        <v>AC MESSANCY</v>
      </c>
      <c r="G5" s="133" t="str">
        <f>'ADO-4'!$B$6</f>
        <v>Fonds propres</v>
      </c>
      <c r="H5" s="134">
        <f>'ADO-4'!$B$17</f>
        <v>2000</v>
      </c>
      <c r="I5" s="133" t="str">
        <f>'ADO-4'!$B$7</f>
        <v>Néant</v>
      </c>
      <c r="J5" s="134">
        <f>'ADO-4'!$B$18</f>
        <v>0</v>
      </c>
      <c r="K5" s="134">
        <f>'ADO-4'!$B$21</f>
        <v>1</v>
      </c>
      <c r="L5" s="134">
        <f>'ADO-4'!$B$22</f>
        <v>0</v>
      </c>
      <c r="M5" s="135">
        <f>'ADO-4'!$B$24</f>
        <v>2000</v>
      </c>
      <c r="N5" s="135">
        <f>'ADO-4'!$B$19/1000</f>
        <v>0</v>
      </c>
      <c r="O5" s="136">
        <f t="shared" si="0"/>
        <v>0</v>
      </c>
      <c r="P5" s="137" t="str">
        <f>'ADO-4'!$B$5</f>
        <v>A faire</v>
      </c>
      <c r="Q5" s="140">
        <f>'ADO-4'!$B$16</f>
        <v>2022</v>
      </c>
      <c r="R5" s="283" t="str">
        <f t="shared" si="1"/>
        <v/>
      </c>
      <c r="S5" s="138">
        <f t="shared" si="9"/>
        <v>0</v>
      </c>
      <c r="T5" s="138">
        <f t="shared" si="10"/>
        <v>0</v>
      </c>
      <c r="U5" s="138">
        <f t="shared" si="11"/>
        <v>0</v>
      </c>
      <c r="V5" s="138">
        <f t="shared" si="12"/>
        <v>0</v>
      </c>
      <c r="W5" s="138">
        <f t="shared" si="13"/>
        <v>0</v>
      </c>
      <c r="X5" s="138">
        <f t="shared" si="14"/>
        <v>0</v>
      </c>
      <c r="Y5" s="138">
        <f t="shared" si="15"/>
        <v>0</v>
      </c>
      <c r="AA5" s="287">
        <f>IF(('Synthèse PER'!P5="A faire")*AND('Synthèse PER'!F5="Agriculture"),'Synthèse PER'!H5,0)</f>
        <v>0</v>
      </c>
      <c r="AB5" s="287">
        <f>IF(('Synthèse PER'!P5="A faire")*AND('Synthèse PER'!F5="Industrie"),'Synthèse PER'!H5,0)</f>
        <v>0</v>
      </c>
      <c r="AC5" s="287">
        <f>IF(('Synthèse PER'!P5="A faire")*AND('Synthèse PER'!F5="Citoyen"),'Synthèse PER'!H5,0)</f>
        <v>0</v>
      </c>
      <c r="AD5" s="287">
        <f>IF(('Synthèse PER'!P5="A faire")*AND('Synthèse PER'!F5="IDELUX"),'Synthèse PER'!H5,0)</f>
        <v>0</v>
      </c>
      <c r="AE5" s="290">
        <f>IF(('Synthèse PER'!P5="A faire")*AND('Synthèse PER'!F5="AC MESSANCY"),'Synthèse PER'!H5,0)</f>
        <v>2000</v>
      </c>
      <c r="AF5" s="287">
        <f>IF(('Synthèse PER'!P5="A faire")*AND('Synthèse PER'!F5="Tertiaire"),'Synthèse PER'!H5,0)</f>
        <v>0</v>
      </c>
      <c r="AG5" s="288"/>
      <c r="AH5" s="290">
        <f>IF(('Synthèse PER'!P5="A faire")*AND('Synthèse PER'!F5="Agriculture"),'Synthèse PER'!J5,0)</f>
        <v>0</v>
      </c>
      <c r="AI5" s="290">
        <f>IF(('Synthèse PER'!P5="A faire")*AND('Synthèse PER'!F5="Industrie"),'Synthèse PER'!J5,0)</f>
        <v>0</v>
      </c>
      <c r="AJ5" s="290">
        <f>IF(('Synthèse PER'!P5="A faire")*AND('Synthèse PER'!F5="Citoyen"),'Synthèse PER'!J5,0)</f>
        <v>0</v>
      </c>
      <c r="AK5" s="290">
        <f>IF(('Synthèse PER'!P5="A faire")*AND('Synthèse PER'!F5="IDELUX"),'Synthèse PER'!J5,0)</f>
        <v>0</v>
      </c>
      <c r="AL5" s="290">
        <f>IF(('Synthèse PER'!P5="A faire")*AND('Synthèse PER'!F5="AC MESSANCY"),'Synthèse PER'!J5,0)</f>
        <v>0</v>
      </c>
      <c r="AM5" s="290">
        <f>IF(('Synthèse PER'!P5="A faire")*AND('Synthèse PER'!F5="Tertiaire"),'Synthèse PER'!J5,0)</f>
        <v>0</v>
      </c>
      <c r="AN5" s="288"/>
      <c r="AO5" s="290">
        <f>IF(('Synthèse PER'!P5="A faire")*AND('Synthèse PER'!E5="Territoire"),'Synthèse PER'!H5,0)</f>
        <v>0</v>
      </c>
      <c r="AP5" s="290">
        <f>IF(('Synthèse PER'!P5="A faire")*AND('Synthèse PER'!E5="Agriculture"),'Synthèse PER'!H5,0)</f>
        <v>2000</v>
      </c>
      <c r="AQ5" s="290">
        <f>IF(('Synthèse PER'!P5="A faire")*AND('Synthèse PER'!E5="Industrie"),'Synthèse PER'!H5,0)</f>
        <v>0</v>
      </c>
      <c r="AR5" s="290">
        <f>IF(('Synthèse PER'!P5="A faire")*AND('Synthèse PER'!E5="Logement"),'Synthèse PER'!H5,0)</f>
        <v>0</v>
      </c>
      <c r="AS5" s="290">
        <f>IF(('Synthèse PER'!P5="A faire")*AND('Synthèse PER'!E5="Tertiaire"),'Synthèse PER'!H5,0)</f>
        <v>0</v>
      </c>
      <c r="AT5" s="290">
        <f>IF(('Synthèse PER'!P5="A faire")*AND('Synthèse PER'!E5="Transport"),'Synthèse PER'!H5,0)</f>
        <v>0</v>
      </c>
      <c r="AU5" s="290">
        <f>IF(('Synthèse PER'!P5="A faire")*AND('Synthèse PER'!E5="Communal"),'Synthèse PER'!H5,0)</f>
        <v>0</v>
      </c>
      <c r="AV5" s="288"/>
      <c r="AW5" s="290">
        <f>IF(('Synthèse PER'!P5="A faire")*AND('Synthèse PER'!E5="Territoire"),'Synthèse PER'!J5,0)</f>
        <v>0</v>
      </c>
      <c r="AX5" s="290">
        <f>IF(('Synthèse PER'!P5="A faire")*AND('Synthèse PER'!E5="Agriculture"),'Synthèse PER'!J5,0)</f>
        <v>0</v>
      </c>
      <c r="AY5" s="290">
        <f>IF(('Synthèse PER'!P5="A faire")*AND('Synthèse PER'!E5="Industrie"),'Synthèse PER'!J5,0)</f>
        <v>0</v>
      </c>
      <c r="AZ5" s="290">
        <f>IF(('Synthèse PER'!P5="A faire")*AND('Synthèse PER'!E5="Logement"),'Synthèse PER'!J5,0)</f>
        <v>0</v>
      </c>
      <c r="BA5" s="290">
        <f>IF(('Synthèse PER'!P5="A faire")*AND('Synthèse PER'!E5="Tertiaire"),'Synthèse PER'!J5,0)</f>
        <v>0</v>
      </c>
      <c r="BB5" s="290">
        <f>IF(('Synthèse PER'!P5="A faire")*AND('Synthèse PER'!E5="Transport"),'Synthèse PER'!J5,0)</f>
        <v>0</v>
      </c>
      <c r="BC5" s="290">
        <f>IF(('Synthèse PER'!P5="A faire")*AND('Synthèse PER'!E5="Communal"),'Synthèse PER'!J5,0)</f>
        <v>0</v>
      </c>
      <c r="BD5" s="288"/>
      <c r="BE5" s="290">
        <f>IF(('Synthèse PER'!P5="A faire")*AND('Synthèse PER'!E5="Territoire"),'Synthèse PER'!K5,0)</f>
        <v>0</v>
      </c>
      <c r="BF5" s="290">
        <f>IF(('Synthèse PER'!P5="A faire")*AND('Synthèse PER'!E5="Agriculture"),'Synthèse PER'!K5,0)</f>
        <v>1</v>
      </c>
      <c r="BG5" s="290">
        <f>IF(('Synthèse PER'!P5="A faire")*AND('Synthèse PER'!E5="Industrie"),'Synthèse PER'!K5,0)</f>
        <v>0</v>
      </c>
      <c r="BH5" s="290">
        <f>IF(('Synthèse PER'!P5="A faire")*AND('Synthèse PER'!E5="Logement"),'Synthèse PER'!K5,0)</f>
        <v>0</v>
      </c>
      <c r="BI5" s="290">
        <f>IF(('Synthèse PER'!P5="A faire")*AND('Synthèse PER'!E5="Tertiaire"),'Synthèse PER'!K5,0)</f>
        <v>0</v>
      </c>
      <c r="BJ5" s="290">
        <f>IF(('Synthèse PER'!P5="A faire")*AND('Synthèse PER'!E5="Transport"),'Synthèse PER'!K5,0)</f>
        <v>0</v>
      </c>
      <c r="BK5" s="290">
        <f>IF(('Synthèse PER'!P5="A faire")*AND('Synthèse PER'!E5="Communal"),'Synthèse PER'!K5,0)</f>
        <v>0</v>
      </c>
      <c r="BL5" s="288"/>
      <c r="BM5" s="290">
        <f>IF(('Synthèse PER'!P5="A faire")*AND('Synthèse PER'!E5="Territoire"),'Synthèse PER'!L5,0)</f>
        <v>0</v>
      </c>
      <c r="BN5" s="290">
        <f>IF(('Synthèse PER'!P5="A faire")*AND('Synthèse PER'!E5="Agriculture"),'Synthèse PER'!L5,0)</f>
        <v>0</v>
      </c>
      <c r="BO5" s="290">
        <f>IF(('Synthèse PER'!P5="A faire")*AND('Synthèse PER'!E5="Industrie"),'Synthèse PER'!L5,0)</f>
        <v>0</v>
      </c>
      <c r="BP5" s="290">
        <f>IF(('Synthèse PER'!P5="A faire")*AND('Synthèse PER'!E5="Logement"),'Synthèse PER'!L5,0)</f>
        <v>0</v>
      </c>
      <c r="BQ5" s="290">
        <f>IF(('Synthèse PER'!P5="A faire")*AND('Synthèse PER'!E5="Tertiaire"),'Synthèse PER'!L5,0)</f>
        <v>0</v>
      </c>
      <c r="BR5" s="290">
        <f>IF(('Synthèse PER'!P5="A faire")*AND('Synthèse PER'!E5="Transport"),'Synthèse PER'!L5,0)</f>
        <v>0</v>
      </c>
      <c r="BS5" s="290">
        <f>IF(('Synthèse PER'!P5="A faire")*AND('Synthèse PER'!E5="Communal"),'Synthèse PER'!L5,0)</f>
        <v>0</v>
      </c>
      <c r="BT5" s="290">
        <f>IF(('Synthèse PER'!Q5="A faire")*AND('Synthèse PER'!F5="Communal"),'Synthèse PER'!M5,0)</f>
        <v>0</v>
      </c>
    </row>
    <row r="6" spans="1:72" s="139" customFormat="1" x14ac:dyDescent="0.25">
      <c r="A6" s="370" t="s">
        <v>132</v>
      </c>
      <c r="B6" s="414" t="str">
        <f>'ADO-5'!B$3:E$3</f>
        <v>Communication</v>
      </c>
      <c r="C6" s="419" t="str">
        <f>'ADO-5'!$B$8</f>
        <v>Entreprises tous secteurs</v>
      </c>
      <c r="D6" s="133" t="str">
        <f>'ADO-5'!$B$9</f>
        <v>Information aux entreprises</v>
      </c>
      <c r="E6" s="133" t="str">
        <f>'ADO-5'!$B$4</f>
        <v>Industrie</v>
      </c>
      <c r="F6" s="133" t="str">
        <f>'ADO-5'!$B$12</f>
        <v>AC MESSANCY</v>
      </c>
      <c r="G6" s="133" t="str">
        <f>'ADO-5'!$B$6</f>
        <v>Fonds propres</v>
      </c>
      <c r="H6" s="134">
        <f>'ADO-5'!$B$17</f>
        <v>2000</v>
      </c>
      <c r="I6" s="133" t="str">
        <f>'ADO-5'!$B$7</f>
        <v>Néant</v>
      </c>
      <c r="J6" s="134">
        <f>'ADO-5'!$B$18</f>
        <v>0</v>
      </c>
      <c r="K6" s="134">
        <f>'ADO-5'!$B$21</f>
        <v>1</v>
      </c>
      <c r="L6" s="134">
        <f>'ADO-5'!$B$22</f>
        <v>0</v>
      </c>
      <c r="M6" s="135">
        <f>'ADO-5'!$B$24</f>
        <v>2000</v>
      </c>
      <c r="N6" s="135">
        <f>'ADO-5'!$B$19/1000</f>
        <v>0</v>
      </c>
      <c r="O6" s="136">
        <f t="shared" si="0"/>
        <v>0</v>
      </c>
      <c r="P6" s="137" t="str">
        <f>'ADO-5'!$B$5</f>
        <v>A faire</v>
      </c>
      <c r="Q6" s="140">
        <f>'ADO-5'!$B$16</f>
        <v>2022</v>
      </c>
      <c r="R6" s="283" t="str">
        <f t="shared" si="1"/>
        <v/>
      </c>
      <c r="S6" s="138">
        <f t="shared" si="9"/>
        <v>0</v>
      </c>
      <c r="T6" s="138">
        <f t="shared" si="10"/>
        <v>0</v>
      </c>
      <c r="U6" s="138">
        <f t="shared" si="11"/>
        <v>0</v>
      </c>
      <c r="V6" s="138">
        <f t="shared" si="12"/>
        <v>0</v>
      </c>
      <c r="W6" s="138">
        <f t="shared" si="13"/>
        <v>0</v>
      </c>
      <c r="X6" s="138">
        <f t="shared" si="14"/>
        <v>0</v>
      </c>
      <c r="Y6" s="138">
        <f t="shared" si="15"/>
        <v>0</v>
      </c>
      <c r="AA6" s="287">
        <f>IF(('Synthèse PER'!P6="A faire")*AND('Synthèse PER'!F6="Agriculture"),'Synthèse PER'!H6,0)</f>
        <v>0</v>
      </c>
      <c r="AB6" s="287">
        <f>IF(('Synthèse PER'!P6="A faire")*AND('Synthèse PER'!F6="Industrie"),'Synthèse PER'!H6,0)</f>
        <v>0</v>
      </c>
      <c r="AC6" s="287">
        <f>IF(('Synthèse PER'!P6="A faire")*AND('Synthèse PER'!F6="Citoyen"),'Synthèse PER'!H6,0)</f>
        <v>0</v>
      </c>
      <c r="AD6" s="287">
        <f>IF(('Synthèse PER'!P6="A faire")*AND('Synthèse PER'!F6="IDELUX"),'Synthèse PER'!H6,0)</f>
        <v>0</v>
      </c>
      <c r="AE6" s="290">
        <f>IF(('Synthèse PER'!P6="A faire")*AND('Synthèse PER'!F6="AC MESSANCY"),'Synthèse PER'!H6,0)</f>
        <v>2000</v>
      </c>
      <c r="AF6" s="287">
        <f>IF(('Synthèse PER'!P6="A faire")*AND('Synthèse PER'!F6="Tertiaire"),'Synthèse PER'!H6,0)</f>
        <v>0</v>
      </c>
      <c r="AG6" s="288"/>
      <c r="AH6" s="290">
        <f>IF(('Synthèse PER'!P6="A faire")*AND('Synthèse PER'!F6="Agriculture"),'Synthèse PER'!J6,0)</f>
        <v>0</v>
      </c>
      <c r="AI6" s="290">
        <f>IF(('Synthèse PER'!P6="A faire")*AND('Synthèse PER'!F6="Industrie"),'Synthèse PER'!J6,0)</f>
        <v>0</v>
      </c>
      <c r="AJ6" s="290">
        <f>IF(('Synthèse PER'!P6="A faire")*AND('Synthèse PER'!F6="Citoyen"),'Synthèse PER'!J6,0)</f>
        <v>0</v>
      </c>
      <c r="AK6" s="290">
        <f>IF(('Synthèse PER'!P6="A faire")*AND('Synthèse PER'!F6="IDELUX"),'Synthèse PER'!J6,0)</f>
        <v>0</v>
      </c>
      <c r="AL6" s="290">
        <f>IF(('Synthèse PER'!P6="A faire")*AND('Synthèse PER'!F6="AC MESSANCY"),'Synthèse PER'!J6,0)</f>
        <v>0</v>
      </c>
      <c r="AM6" s="290">
        <f>IF(('Synthèse PER'!P6="A faire")*AND('Synthèse PER'!F6="Tertiaire"),'Synthèse PER'!J6,0)</f>
        <v>0</v>
      </c>
      <c r="AN6" s="288"/>
      <c r="AO6" s="290">
        <f>IF(('Synthèse PER'!P6="A faire")*AND('Synthèse PER'!E6="Territoire"),'Synthèse PER'!H6,0)</f>
        <v>0</v>
      </c>
      <c r="AP6" s="290">
        <f>IF(('Synthèse PER'!P6="A faire")*AND('Synthèse PER'!E6="Agriculture"),'Synthèse PER'!H6,0)</f>
        <v>0</v>
      </c>
      <c r="AQ6" s="290">
        <f>IF(('Synthèse PER'!P6="A faire")*AND('Synthèse PER'!E6="Industrie"),'Synthèse PER'!H6,0)</f>
        <v>2000</v>
      </c>
      <c r="AR6" s="290">
        <f>IF(('Synthèse PER'!P6="A faire")*AND('Synthèse PER'!E6="Logement"),'Synthèse PER'!H6,0)</f>
        <v>0</v>
      </c>
      <c r="AS6" s="290">
        <f>IF(('Synthèse PER'!P6="A faire")*AND('Synthèse PER'!E6="Tertiaire"),'Synthèse PER'!H6,0)</f>
        <v>0</v>
      </c>
      <c r="AT6" s="290">
        <f>IF(('Synthèse PER'!P6="A faire")*AND('Synthèse PER'!E6="Transport"),'Synthèse PER'!H6,0)</f>
        <v>0</v>
      </c>
      <c r="AU6" s="290">
        <f>IF(('Synthèse PER'!P6="A faire")*AND('Synthèse PER'!E6="Communal"),'Synthèse PER'!H6,0)</f>
        <v>0</v>
      </c>
      <c r="AV6" s="288"/>
      <c r="AW6" s="290">
        <f>IF(('Synthèse PER'!P6="A faire")*AND('Synthèse PER'!E6="Territoire"),'Synthèse PER'!J6,0)</f>
        <v>0</v>
      </c>
      <c r="AX6" s="290">
        <f>IF(('Synthèse PER'!P6="A faire")*AND('Synthèse PER'!E6="Agriculture"),'Synthèse PER'!J6,0)</f>
        <v>0</v>
      </c>
      <c r="AY6" s="290">
        <f>IF(('Synthèse PER'!P6="A faire")*AND('Synthèse PER'!E6="Industrie"),'Synthèse PER'!J6,0)</f>
        <v>0</v>
      </c>
      <c r="AZ6" s="290">
        <f>IF(('Synthèse PER'!P6="A faire")*AND('Synthèse PER'!E6="Logement"),'Synthèse PER'!J6,0)</f>
        <v>0</v>
      </c>
      <c r="BA6" s="290">
        <f>IF(('Synthèse PER'!P6="A faire")*AND('Synthèse PER'!E6="Tertiaire"),'Synthèse PER'!J6,0)</f>
        <v>0</v>
      </c>
      <c r="BB6" s="290">
        <f>IF(('Synthèse PER'!P6="A faire")*AND('Synthèse PER'!E6="Transport"),'Synthèse PER'!J6,0)</f>
        <v>0</v>
      </c>
      <c r="BC6" s="290">
        <f>IF(('Synthèse PER'!P6="A faire")*AND('Synthèse PER'!E6="Communal"),'Synthèse PER'!J6,0)</f>
        <v>0</v>
      </c>
      <c r="BD6" s="288"/>
      <c r="BE6" s="290">
        <f>IF(('Synthèse PER'!P6="A faire")*AND('Synthèse PER'!E6="Territoire"),'Synthèse PER'!K6,0)</f>
        <v>0</v>
      </c>
      <c r="BF6" s="290">
        <f>IF(('Synthèse PER'!P6="A faire")*AND('Synthèse PER'!E6="Agriculture"),'Synthèse PER'!K6,0)</f>
        <v>0</v>
      </c>
      <c r="BG6" s="290">
        <f>IF(('Synthèse PER'!P6="A faire")*AND('Synthèse PER'!E6="Industrie"),'Synthèse PER'!K6,0)</f>
        <v>1</v>
      </c>
      <c r="BH6" s="290">
        <f>IF(('Synthèse PER'!P6="A faire")*AND('Synthèse PER'!E6="Logement"),'Synthèse PER'!K6,0)</f>
        <v>0</v>
      </c>
      <c r="BI6" s="290">
        <f>IF(('Synthèse PER'!P6="A faire")*AND('Synthèse PER'!E6="Tertiaire"),'Synthèse PER'!K6,0)</f>
        <v>0</v>
      </c>
      <c r="BJ6" s="290">
        <f>IF(('Synthèse PER'!P6="A faire")*AND('Synthèse PER'!E6="Transport"),'Synthèse PER'!K6,0)</f>
        <v>0</v>
      </c>
      <c r="BK6" s="290">
        <f>IF(('Synthèse PER'!P6="A faire")*AND('Synthèse PER'!E6="Communal"),'Synthèse PER'!K6,0)</f>
        <v>0</v>
      </c>
      <c r="BL6" s="288"/>
      <c r="BM6" s="290">
        <f>IF(('Synthèse PER'!P6="A faire")*AND('Synthèse PER'!E6="Territoire"),'Synthèse PER'!L6,0)</f>
        <v>0</v>
      </c>
      <c r="BN6" s="290">
        <f>IF(('Synthèse PER'!P6="A faire")*AND('Synthèse PER'!E6="Agriculture"),'Synthèse PER'!L6,0)</f>
        <v>0</v>
      </c>
      <c r="BO6" s="290">
        <f>IF(('Synthèse PER'!P6="A faire")*AND('Synthèse PER'!E6="Industrie"),'Synthèse PER'!L6,0)</f>
        <v>0</v>
      </c>
      <c r="BP6" s="290">
        <f>IF(('Synthèse PER'!P6="A faire")*AND('Synthèse PER'!E6="Logement"),'Synthèse PER'!L6,0)</f>
        <v>0</v>
      </c>
      <c r="BQ6" s="290">
        <f>IF(('Synthèse PER'!P6="A faire")*AND('Synthèse PER'!E6="Tertiaire"),'Synthèse PER'!L6,0)</f>
        <v>0</v>
      </c>
      <c r="BR6" s="290">
        <f>IF(('Synthèse PER'!P6="A faire")*AND('Synthèse PER'!E6="Transport"),'Synthèse PER'!L6,0)</f>
        <v>0</v>
      </c>
      <c r="BS6" s="290">
        <f>IF(('Synthèse PER'!P6="A faire")*AND('Synthèse PER'!E6="Communal"),'Synthèse PER'!L6,0)</f>
        <v>0</v>
      </c>
      <c r="BT6" s="290">
        <f>IF(('Synthèse PER'!Q6="A faire")*AND('Synthèse PER'!F6="Communal"),'Synthèse PER'!M6,0)</f>
        <v>0</v>
      </c>
    </row>
    <row r="7" spans="1:72" s="139" customFormat="1" x14ac:dyDescent="0.25">
      <c r="A7" s="370" t="s">
        <v>131</v>
      </c>
      <c r="B7" s="414" t="str">
        <f>'ADO-6'!B$3:E$3</f>
        <v>Communication</v>
      </c>
      <c r="C7" s="419" t="str">
        <f>'ADO-6'!$B$8</f>
        <v>Bâtiments communaux</v>
      </c>
      <c r="D7" s="133" t="str">
        <f>'ADO-6'!$B$9</f>
        <v>Suivi de la consommation énergétique</v>
      </c>
      <c r="E7" s="133" t="str">
        <f>'ADO-6'!$B$4</f>
        <v>Communal</v>
      </c>
      <c r="F7" s="133" t="str">
        <f>'ADO-6'!$B$12</f>
        <v>AC MESSANCY</v>
      </c>
      <c r="G7" s="133" t="str">
        <f>'ADO-6'!$B$6</f>
        <v>Fonds propres</v>
      </c>
      <c r="H7" s="134">
        <f>'ADO-6'!$B$17</f>
        <v>1000</v>
      </c>
      <c r="I7" s="133" t="str">
        <f>'ADO-6'!$B$7</f>
        <v>Néant</v>
      </c>
      <c r="J7" s="134">
        <f>'ADO-6'!$B$18</f>
        <v>0</v>
      </c>
      <c r="K7" s="134">
        <f>'ADO-6'!$B$21</f>
        <v>1</v>
      </c>
      <c r="L7" s="134">
        <f>'ADO-6'!$B$22</f>
        <v>0</v>
      </c>
      <c r="M7" s="135">
        <f>'ADO-6'!$B$24</f>
        <v>1000</v>
      </c>
      <c r="N7" s="135">
        <f>'ADO-6'!$B$19/1000</f>
        <v>0</v>
      </c>
      <c r="O7" s="136">
        <f t="shared" si="0"/>
        <v>0</v>
      </c>
      <c r="P7" s="137" t="str">
        <f>'ADO-6'!$B$5</f>
        <v>Terminé</v>
      </c>
      <c r="Q7" s="140">
        <f>'ADO-6'!$B$16</f>
        <v>2018</v>
      </c>
      <c r="R7" s="283">
        <f t="shared" si="1"/>
        <v>0</v>
      </c>
      <c r="S7" s="138">
        <f t="shared" si="9"/>
        <v>0</v>
      </c>
      <c r="T7" s="138">
        <f t="shared" si="10"/>
        <v>0</v>
      </c>
      <c r="U7" s="138">
        <f t="shared" si="11"/>
        <v>0</v>
      </c>
      <c r="V7" s="138">
        <f t="shared" si="12"/>
        <v>0</v>
      </c>
      <c r="W7" s="138">
        <f t="shared" si="13"/>
        <v>0</v>
      </c>
      <c r="X7" s="138">
        <f t="shared" si="14"/>
        <v>0</v>
      </c>
      <c r="Y7" s="138">
        <f t="shared" si="15"/>
        <v>0</v>
      </c>
      <c r="AA7" s="287">
        <f>IF(('Synthèse PER'!P7="A faire")*AND('Synthèse PER'!F7="Agriculture"),'Synthèse PER'!H7,0)</f>
        <v>0</v>
      </c>
      <c r="AB7" s="287">
        <f>IF(('Synthèse PER'!P7="A faire")*AND('Synthèse PER'!F7="Industrie"),'Synthèse PER'!H7,0)</f>
        <v>0</v>
      </c>
      <c r="AC7" s="287">
        <f>IF(('Synthèse PER'!P7="A faire")*AND('Synthèse PER'!F7="Citoyen"),'Synthèse PER'!H7,0)</f>
        <v>0</v>
      </c>
      <c r="AD7" s="287">
        <f>IF(('Synthèse PER'!P7="A faire")*AND('Synthèse PER'!F7="IDELUX"),'Synthèse PER'!H7,0)</f>
        <v>0</v>
      </c>
      <c r="AE7" s="290">
        <f>IF(('Synthèse PER'!P7="A faire")*AND('Synthèse PER'!F7="AC MESSANCY"),'Synthèse PER'!H7,0)</f>
        <v>0</v>
      </c>
      <c r="AF7" s="287">
        <f>IF(('Synthèse PER'!P7="A faire")*AND('Synthèse PER'!F7="Tertiaire"),'Synthèse PER'!H7,0)</f>
        <v>0</v>
      </c>
      <c r="AG7" s="288"/>
      <c r="AH7" s="290">
        <f>IF(('Synthèse PER'!P7="A faire")*AND('Synthèse PER'!F7="Agriculture"),'Synthèse PER'!J7,0)</f>
        <v>0</v>
      </c>
      <c r="AI7" s="290">
        <f>IF(('Synthèse PER'!P7="A faire")*AND('Synthèse PER'!F7="Industrie"),'Synthèse PER'!J7,0)</f>
        <v>0</v>
      </c>
      <c r="AJ7" s="290">
        <f>IF(('Synthèse PER'!P7="A faire")*AND('Synthèse PER'!F7="Citoyen"),'Synthèse PER'!J7,0)</f>
        <v>0</v>
      </c>
      <c r="AK7" s="290">
        <f>IF(('Synthèse PER'!P7="A faire")*AND('Synthèse PER'!F7="IDELUX"),'Synthèse PER'!J7,0)</f>
        <v>0</v>
      </c>
      <c r="AL7" s="290">
        <f>IF(('Synthèse PER'!P7="A faire")*AND('Synthèse PER'!F7="AC MESSANCY"),'Synthèse PER'!J7,0)</f>
        <v>0</v>
      </c>
      <c r="AM7" s="290">
        <f>IF(('Synthèse PER'!P7="A faire")*AND('Synthèse PER'!F7="Tertiaire"),'Synthèse PER'!J7,0)</f>
        <v>0</v>
      </c>
      <c r="AN7" s="288"/>
      <c r="AO7" s="290">
        <f>IF(('Synthèse PER'!P7="A faire")*AND('Synthèse PER'!E7="Territoire"),'Synthèse PER'!H7,0)</f>
        <v>0</v>
      </c>
      <c r="AP7" s="290">
        <f>IF(('Synthèse PER'!P7="A faire")*AND('Synthèse PER'!E7="Agriculture"),'Synthèse PER'!H7,0)</f>
        <v>0</v>
      </c>
      <c r="AQ7" s="290">
        <f>IF(('Synthèse PER'!P7="A faire")*AND('Synthèse PER'!E7="Industrie"),'Synthèse PER'!H7,0)</f>
        <v>0</v>
      </c>
      <c r="AR7" s="290">
        <f>IF(('Synthèse PER'!P7="A faire")*AND('Synthèse PER'!E7="Logement"),'Synthèse PER'!H7,0)</f>
        <v>0</v>
      </c>
      <c r="AS7" s="290">
        <f>IF(('Synthèse PER'!P7="A faire")*AND('Synthèse PER'!E7="Tertiaire"),'Synthèse PER'!H7,0)</f>
        <v>0</v>
      </c>
      <c r="AT7" s="290">
        <f>IF(('Synthèse PER'!P7="A faire")*AND('Synthèse PER'!E7="Transport"),'Synthèse PER'!H7,0)</f>
        <v>0</v>
      </c>
      <c r="AU7" s="290">
        <f>IF(('Synthèse PER'!P7="A faire")*AND('Synthèse PER'!E7="Communal"),'Synthèse PER'!H7,0)</f>
        <v>0</v>
      </c>
      <c r="AV7" s="288"/>
      <c r="AW7" s="290">
        <f>IF(('Synthèse PER'!P7="A faire")*AND('Synthèse PER'!E7="Territoire"),'Synthèse PER'!J7,0)</f>
        <v>0</v>
      </c>
      <c r="AX7" s="290">
        <f>IF(('Synthèse PER'!P7="A faire")*AND('Synthèse PER'!E7="Agriculture"),'Synthèse PER'!J7,0)</f>
        <v>0</v>
      </c>
      <c r="AY7" s="290">
        <f>IF(('Synthèse PER'!P7="A faire")*AND('Synthèse PER'!E7="Industrie"),'Synthèse PER'!J7,0)</f>
        <v>0</v>
      </c>
      <c r="AZ7" s="290">
        <f>IF(('Synthèse PER'!P7="A faire")*AND('Synthèse PER'!E7="Logement"),'Synthèse PER'!J7,0)</f>
        <v>0</v>
      </c>
      <c r="BA7" s="290">
        <f>IF(('Synthèse PER'!P7="A faire")*AND('Synthèse PER'!E7="Tertiaire"),'Synthèse PER'!J7,0)</f>
        <v>0</v>
      </c>
      <c r="BB7" s="290">
        <f>IF(('Synthèse PER'!P7="A faire")*AND('Synthèse PER'!E7="Transport"),'Synthèse PER'!J7,0)</f>
        <v>0</v>
      </c>
      <c r="BC7" s="290">
        <f>IF(('Synthèse PER'!P7="A faire")*AND('Synthèse PER'!E7="Communal"),'Synthèse PER'!J7,0)</f>
        <v>0</v>
      </c>
      <c r="BD7" s="288"/>
      <c r="BE7" s="290">
        <f>IF(('Synthèse PER'!P7="A faire")*AND('Synthèse PER'!E7="Territoire"),'Synthèse PER'!K7,0)</f>
        <v>0</v>
      </c>
      <c r="BF7" s="290">
        <f>IF(('Synthèse PER'!P7="A faire")*AND('Synthèse PER'!E7="Agriculture"),'Synthèse PER'!K7,0)</f>
        <v>0</v>
      </c>
      <c r="BG7" s="290">
        <f>IF(('Synthèse PER'!P7="A faire")*AND('Synthèse PER'!E7="Industrie"),'Synthèse PER'!K7,0)</f>
        <v>0</v>
      </c>
      <c r="BH7" s="290">
        <f>IF(('Synthèse PER'!P7="A faire")*AND('Synthèse PER'!E7="Logement"),'Synthèse PER'!K7,0)</f>
        <v>0</v>
      </c>
      <c r="BI7" s="290">
        <f>IF(('Synthèse PER'!P7="A faire")*AND('Synthèse PER'!E7="Tertiaire"),'Synthèse PER'!K7,0)</f>
        <v>0</v>
      </c>
      <c r="BJ7" s="290">
        <f>IF(('Synthèse PER'!P7="A faire")*AND('Synthèse PER'!E7="Transport"),'Synthèse PER'!K7,0)</f>
        <v>0</v>
      </c>
      <c r="BK7" s="290">
        <f>IF(('Synthèse PER'!P7="A faire")*AND('Synthèse PER'!E7="Communal"),'Synthèse PER'!K7,0)</f>
        <v>0</v>
      </c>
      <c r="BL7" s="288"/>
      <c r="BM7" s="290">
        <f>IF(('Synthèse PER'!P7="A faire")*AND('Synthèse PER'!E7="Territoire"),'Synthèse PER'!L7,0)</f>
        <v>0</v>
      </c>
      <c r="BN7" s="290">
        <f>IF(('Synthèse PER'!P7="A faire")*AND('Synthèse PER'!E7="Agriculture"),'Synthèse PER'!L7,0)</f>
        <v>0</v>
      </c>
      <c r="BO7" s="290">
        <f>IF(('Synthèse PER'!P7="A faire")*AND('Synthèse PER'!E7="Industrie"),'Synthèse PER'!L7,0)</f>
        <v>0</v>
      </c>
      <c r="BP7" s="290">
        <f>IF(('Synthèse PER'!P7="A faire")*AND('Synthèse PER'!E7="Logement"),'Synthèse PER'!L7,0)</f>
        <v>0</v>
      </c>
      <c r="BQ7" s="290">
        <f>IF(('Synthèse PER'!P7="A faire")*AND('Synthèse PER'!E7="Tertiaire"),'Synthèse PER'!L7,0)</f>
        <v>0</v>
      </c>
      <c r="BR7" s="290">
        <f>IF(('Synthèse PER'!P7="A faire")*AND('Synthèse PER'!E7="Transport"),'Synthèse PER'!L7,0)</f>
        <v>0</v>
      </c>
      <c r="BS7" s="290">
        <f>IF(('Synthèse PER'!P7="A faire")*AND('Synthèse PER'!E7="Communal"),'Synthèse PER'!L7,0)</f>
        <v>0</v>
      </c>
      <c r="BT7" s="290">
        <f>IF(('Synthèse PER'!Q7="A faire")*AND('Synthèse PER'!F7="Communal"),'Synthèse PER'!M7,0)</f>
        <v>0</v>
      </c>
    </row>
    <row r="8" spans="1:72" s="139" customFormat="1" x14ac:dyDescent="0.25">
      <c r="A8" s="370" t="s">
        <v>125</v>
      </c>
      <c r="B8" s="481" t="str">
        <f>'ADO-7'!B$3:E$3</f>
        <v>Communication</v>
      </c>
      <c r="C8" s="419" t="str">
        <f>'ADO-7'!$B$8</f>
        <v>Bâtiments communaux</v>
      </c>
      <c r="D8" s="133" t="str">
        <f>'ADO-7'!$B$9</f>
        <v>Audits énergétiques</v>
      </c>
      <c r="E8" s="133" t="str">
        <f>'ADO-7'!$B$4</f>
        <v>Communal</v>
      </c>
      <c r="F8" s="133" t="str">
        <f>'ADO-7'!$B$12</f>
        <v>AC MESSANCY</v>
      </c>
      <c r="G8" s="133" t="str">
        <f>'ADO-7'!$B$6</f>
        <v>Fonds propres</v>
      </c>
      <c r="H8" s="134">
        <f>'ADO-7'!$B$17</f>
        <v>50000</v>
      </c>
      <c r="I8" s="133" t="str">
        <f>'ADO-7'!$B$7</f>
        <v>Subs RW</v>
      </c>
      <c r="J8" s="134">
        <f>'ADO-7'!$B$18</f>
        <v>27500.000000000004</v>
      </c>
      <c r="K8" s="134">
        <f>'ADO-7'!$B$21</f>
        <v>1</v>
      </c>
      <c r="L8" s="134">
        <f>'ADO-7'!$B$22</f>
        <v>0</v>
      </c>
      <c r="M8" s="135">
        <f>'ADO-7'!$B$24</f>
        <v>22499.999999999996</v>
      </c>
      <c r="N8" s="135">
        <f>'ADO-7'!$B$19/1000</f>
        <v>0</v>
      </c>
      <c r="O8" s="136">
        <f>IF(H8=0,0,N8/(H8-J8)*1000)</f>
        <v>0</v>
      </c>
      <c r="P8" s="137" t="str">
        <f>'ADO-7'!$B$5</f>
        <v>A faire</v>
      </c>
      <c r="Q8" s="140">
        <f>'ADO-7'!$B$16</f>
        <v>2025</v>
      </c>
      <c r="R8" s="283" t="str">
        <f>IF(P8="terminé", N8,"")</f>
        <v/>
      </c>
      <c r="S8" s="138">
        <f t="shared" si="9"/>
        <v>0</v>
      </c>
      <c r="T8" s="138">
        <f t="shared" si="10"/>
        <v>0</v>
      </c>
      <c r="U8" s="138">
        <f t="shared" si="11"/>
        <v>0</v>
      </c>
      <c r="V8" s="138">
        <f t="shared" si="12"/>
        <v>0</v>
      </c>
      <c r="W8" s="138">
        <f t="shared" si="13"/>
        <v>0</v>
      </c>
      <c r="X8" s="138">
        <f t="shared" si="14"/>
        <v>0</v>
      </c>
      <c r="Y8" s="138">
        <f t="shared" si="15"/>
        <v>0</v>
      </c>
      <c r="AA8" s="287">
        <f>IF(('Synthèse PER'!P8="A faire")*AND('Synthèse PER'!F8="Agriculture"),'Synthèse PER'!H8,0)</f>
        <v>0</v>
      </c>
      <c r="AB8" s="287">
        <f>IF(('Synthèse PER'!P8="A faire")*AND('Synthèse PER'!F8="Industrie"),'Synthèse PER'!H8,0)</f>
        <v>0</v>
      </c>
      <c r="AC8" s="287">
        <f>IF(('Synthèse PER'!P8="A faire")*AND('Synthèse PER'!F8="Citoyen"),'Synthèse PER'!H8,0)</f>
        <v>0</v>
      </c>
      <c r="AD8" s="287">
        <f>IF(('Synthèse PER'!P8="A faire")*AND('Synthèse PER'!F8="IDELUX"),'Synthèse PER'!H8,0)</f>
        <v>0</v>
      </c>
      <c r="AE8" s="290">
        <f>IF(('Synthèse PER'!P8="A faire")*AND('Synthèse PER'!F8="AC MESSANCY"),'Synthèse PER'!H8,0)</f>
        <v>50000</v>
      </c>
      <c r="AF8" s="287">
        <f>IF(('Synthèse PER'!P8="A faire")*AND('Synthèse PER'!F8="Tertiaire"),'Synthèse PER'!H8,0)</f>
        <v>0</v>
      </c>
      <c r="AG8" s="288"/>
      <c r="AH8" s="290">
        <f>IF(('Synthèse PER'!P8="A faire")*AND('Synthèse PER'!F8="Agriculture"),'Synthèse PER'!J8,0)</f>
        <v>0</v>
      </c>
      <c r="AI8" s="290">
        <f>IF(('Synthèse PER'!P8="A faire")*AND('Synthèse PER'!F8="Industrie"),'Synthèse PER'!J8,0)</f>
        <v>0</v>
      </c>
      <c r="AJ8" s="290">
        <f>IF(('Synthèse PER'!P8="A faire")*AND('Synthèse PER'!F8="Citoyen"),'Synthèse PER'!J8,0)</f>
        <v>0</v>
      </c>
      <c r="AK8" s="290">
        <f>IF(('Synthèse PER'!P8="A faire")*AND('Synthèse PER'!F8="IDELUX"),'Synthèse PER'!J8,0)</f>
        <v>0</v>
      </c>
      <c r="AL8" s="290">
        <f>IF(('Synthèse PER'!P8="A faire")*AND('Synthèse PER'!F8="AC MESSANCY"),'Synthèse PER'!J8,0)</f>
        <v>27500.000000000004</v>
      </c>
      <c r="AM8" s="290">
        <f>IF(('Synthèse PER'!P8="A faire")*AND('Synthèse PER'!F8="Tertiaire"),'Synthèse PER'!J8,0)</f>
        <v>0</v>
      </c>
      <c r="AN8" s="288"/>
      <c r="AO8" s="290">
        <f>IF(('Synthèse PER'!P8="A faire")*AND('Synthèse PER'!E8="Territoire"),'Synthèse PER'!H8,0)</f>
        <v>0</v>
      </c>
      <c r="AP8" s="290">
        <f>IF(('Synthèse PER'!P8="A faire")*AND('Synthèse PER'!E8="Agriculture"),'Synthèse PER'!H8,0)</f>
        <v>0</v>
      </c>
      <c r="AQ8" s="290">
        <f>IF(('Synthèse PER'!P8="A faire")*AND('Synthèse PER'!E8="Industrie"),'Synthèse PER'!H8,0)</f>
        <v>0</v>
      </c>
      <c r="AR8" s="290">
        <f>IF(('Synthèse PER'!P8="A faire")*AND('Synthèse PER'!E8="Logement"),'Synthèse PER'!H8,0)</f>
        <v>0</v>
      </c>
      <c r="AS8" s="290">
        <f>IF(('Synthèse PER'!P8="A faire")*AND('Synthèse PER'!E8="Tertiaire"),'Synthèse PER'!H8,0)</f>
        <v>0</v>
      </c>
      <c r="AT8" s="290">
        <f>IF(('Synthèse PER'!P8="A faire")*AND('Synthèse PER'!E8="Transport"),'Synthèse PER'!H8,0)</f>
        <v>0</v>
      </c>
      <c r="AU8" s="290">
        <f>IF(('Synthèse PER'!P8="A faire")*AND('Synthèse PER'!E8="Communal"),'Synthèse PER'!H8,0)</f>
        <v>50000</v>
      </c>
      <c r="AV8" s="288"/>
      <c r="AW8" s="290">
        <f>IF(('Synthèse PER'!P8="A faire")*AND('Synthèse PER'!E8="Territoire"),'Synthèse PER'!J8,0)</f>
        <v>0</v>
      </c>
      <c r="AX8" s="290">
        <f>IF(('Synthèse PER'!P8="A faire")*AND('Synthèse PER'!E8="Agriculture"),'Synthèse PER'!J8,0)</f>
        <v>0</v>
      </c>
      <c r="AY8" s="290">
        <f>IF(('Synthèse PER'!P8="A faire")*AND('Synthèse PER'!E8="Industrie"),'Synthèse PER'!J8,0)</f>
        <v>0</v>
      </c>
      <c r="AZ8" s="290">
        <f>IF(('Synthèse PER'!P8="A faire")*AND('Synthèse PER'!E8="Logement"),'Synthèse PER'!J8,0)</f>
        <v>0</v>
      </c>
      <c r="BA8" s="290">
        <f>IF(('Synthèse PER'!P8="A faire")*AND('Synthèse PER'!E8="Tertiaire"),'Synthèse PER'!J8,0)</f>
        <v>0</v>
      </c>
      <c r="BB8" s="290">
        <f>IF(('Synthèse PER'!P8="A faire")*AND('Synthèse PER'!E8="Transport"),'Synthèse PER'!J8,0)</f>
        <v>0</v>
      </c>
      <c r="BC8" s="290">
        <f>IF(('Synthèse PER'!P8="A faire")*AND('Synthèse PER'!E8="Communal"),'Synthèse PER'!J8,0)</f>
        <v>27500.000000000004</v>
      </c>
      <c r="BD8" s="288"/>
      <c r="BE8" s="290">
        <f>IF(('Synthèse PER'!P8="A faire")*AND('Synthèse PER'!E8="Territoire"),'Synthèse PER'!K8,0)</f>
        <v>0</v>
      </c>
      <c r="BF8" s="290">
        <f>IF(('Synthèse PER'!P8="A faire")*AND('Synthèse PER'!E8="Agriculture"),'Synthèse PER'!K8,0)</f>
        <v>0</v>
      </c>
      <c r="BG8" s="290">
        <f>IF(('Synthèse PER'!P8="A faire")*AND('Synthèse PER'!E8="Industrie"),'Synthèse PER'!K8,0)</f>
        <v>0</v>
      </c>
      <c r="BH8" s="290">
        <f>IF(('Synthèse PER'!P8="A faire")*AND('Synthèse PER'!E8="Logement"),'Synthèse PER'!K8,0)</f>
        <v>0</v>
      </c>
      <c r="BI8" s="290">
        <f>IF(('Synthèse PER'!P8="A faire")*AND('Synthèse PER'!E8="Tertiaire"),'Synthèse PER'!K8,0)</f>
        <v>0</v>
      </c>
      <c r="BJ8" s="290">
        <f>IF(('Synthèse PER'!P8="A faire")*AND('Synthèse PER'!E8="Transport"),'Synthèse PER'!K8,0)</f>
        <v>0</v>
      </c>
      <c r="BK8" s="290">
        <f>IF(('Synthèse PER'!P8="A faire")*AND('Synthèse PER'!E8="Communal"),'Synthèse PER'!K8,0)</f>
        <v>1</v>
      </c>
      <c r="BL8" s="288"/>
      <c r="BM8" s="290">
        <f>IF(('Synthèse PER'!P8="A faire")*AND('Synthèse PER'!E8="Territoire"),'Synthèse PER'!L8,0)</f>
        <v>0</v>
      </c>
      <c r="BN8" s="290">
        <f>IF(('Synthèse PER'!P8="A faire")*AND('Synthèse PER'!E8="Agriculture"),'Synthèse PER'!L8,0)</f>
        <v>0</v>
      </c>
      <c r="BO8" s="290">
        <f>IF(('Synthèse PER'!P8="A faire")*AND('Synthèse PER'!E8="Industrie"),'Synthèse PER'!L8,0)</f>
        <v>0</v>
      </c>
      <c r="BP8" s="290">
        <f>IF(('Synthèse PER'!P8="A faire")*AND('Synthèse PER'!E8="Logement"),'Synthèse PER'!L8,0)</f>
        <v>0</v>
      </c>
      <c r="BQ8" s="290">
        <f>IF(('Synthèse PER'!P8="A faire")*AND('Synthèse PER'!E8="Tertiaire"),'Synthèse PER'!L8,0)</f>
        <v>0</v>
      </c>
      <c r="BR8" s="290">
        <f>IF(('Synthèse PER'!P8="A faire")*AND('Synthèse PER'!E8="Transport"),'Synthèse PER'!L8,0)</f>
        <v>0</v>
      </c>
      <c r="BS8" s="290">
        <f>IF(('Synthèse PER'!P8="A faire")*AND('Synthèse PER'!E8="Communal"),'Synthèse PER'!L8,0)</f>
        <v>0</v>
      </c>
      <c r="BT8" s="290">
        <f>IF(('Synthèse PER'!Q8="A faire")*AND('Synthèse PER'!F8="Communal"),'Synthèse PER'!M8,0)</f>
        <v>0</v>
      </c>
    </row>
    <row r="9" spans="1:72" s="139" customFormat="1" x14ac:dyDescent="0.25">
      <c r="A9" s="370" t="s">
        <v>134</v>
      </c>
      <c r="B9" s="481" t="str">
        <f>'ADO-8'!B$3:E$3</f>
        <v>Communication</v>
      </c>
      <c r="C9" s="419" t="str">
        <f>'ADO-8'!$B$8</f>
        <v>Grand public</v>
      </c>
      <c r="D9" s="133" t="str">
        <f>'ADO-8'!$B$9</f>
        <v>Page WEB</v>
      </c>
      <c r="E9" s="133" t="str">
        <f>'ADO-8'!$B$4</f>
        <v>Communal</v>
      </c>
      <c r="F9" s="133" t="str">
        <f>'ADO-8'!$B$12</f>
        <v>AC MESSANCY</v>
      </c>
      <c r="G9" s="133" t="str">
        <f>'ADO-8'!$B$6</f>
        <v>Fonds propres</v>
      </c>
      <c r="H9" s="134">
        <f>'ADO-8'!$B$17</f>
        <v>1000</v>
      </c>
      <c r="I9" s="133" t="str">
        <f>'ADO-8'!$B$7</f>
        <v>Néant</v>
      </c>
      <c r="J9" s="134">
        <f>'ADO-8'!$B$18</f>
        <v>0</v>
      </c>
      <c r="K9" s="134">
        <f>'ADO-8'!$B$21</f>
        <v>1</v>
      </c>
      <c r="L9" s="134">
        <f>'ADO-8'!$B$22</f>
        <v>0</v>
      </c>
      <c r="M9" s="135">
        <f>'ADO-8'!$B$24</f>
        <v>1000</v>
      </c>
      <c r="N9" s="135">
        <f>'ADO-8'!$B$19/1000</f>
        <v>0</v>
      </c>
      <c r="O9" s="136">
        <f>IF(H9=0,0,N9/(H9-J9)*1000)</f>
        <v>0</v>
      </c>
      <c r="P9" s="137" t="str">
        <f>'ADO-8'!$B$5</f>
        <v>A faire</v>
      </c>
      <c r="Q9" s="140">
        <f>'ADO-8'!$B$16</f>
        <v>2020</v>
      </c>
      <c r="R9" s="283" t="str">
        <f>IF(P9="terminé", N9,"")</f>
        <v/>
      </c>
      <c r="S9" s="138">
        <f t="shared" si="9"/>
        <v>0</v>
      </c>
      <c r="T9" s="138">
        <f t="shared" si="10"/>
        <v>0</v>
      </c>
      <c r="U9" s="138">
        <f t="shared" si="11"/>
        <v>0</v>
      </c>
      <c r="V9" s="138">
        <f t="shared" si="12"/>
        <v>0</v>
      </c>
      <c r="W9" s="138">
        <f t="shared" si="13"/>
        <v>0</v>
      </c>
      <c r="X9" s="138">
        <f t="shared" si="14"/>
        <v>0</v>
      </c>
      <c r="Y9" s="138">
        <f t="shared" si="15"/>
        <v>0</v>
      </c>
      <c r="AA9" s="287">
        <f>IF(('Synthèse PER'!P9="A faire")*AND('Synthèse PER'!F9="Agriculture"),'Synthèse PER'!H9,0)</f>
        <v>0</v>
      </c>
      <c r="AB9" s="287">
        <f>IF(('Synthèse PER'!P9="A faire")*AND('Synthèse PER'!F9="Industrie"),'Synthèse PER'!H9,0)</f>
        <v>0</v>
      </c>
      <c r="AC9" s="287">
        <f>IF(('Synthèse PER'!P9="A faire")*AND('Synthèse PER'!F9="Citoyen"),'Synthèse PER'!H9,0)</f>
        <v>0</v>
      </c>
      <c r="AD9" s="287">
        <f>IF(('Synthèse PER'!P9="A faire")*AND('Synthèse PER'!F9="IDELUX"),'Synthèse PER'!H9,0)</f>
        <v>0</v>
      </c>
      <c r="AE9" s="290">
        <f>IF(('Synthèse PER'!P9="A faire")*AND('Synthèse PER'!F9="AC MESSANCY"),'Synthèse PER'!H9,0)</f>
        <v>1000</v>
      </c>
      <c r="AF9" s="287">
        <f>IF(('Synthèse PER'!P9="A faire")*AND('Synthèse PER'!F9="Tertiaire"),'Synthèse PER'!H9,0)</f>
        <v>0</v>
      </c>
      <c r="AG9" s="288"/>
      <c r="AH9" s="290">
        <f>IF(('Synthèse PER'!P9="A faire")*AND('Synthèse PER'!F9="Agriculture"),'Synthèse PER'!J9,0)</f>
        <v>0</v>
      </c>
      <c r="AI9" s="290">
        <f>IF(('Synthèse PER'!P9="A faire")*AND('Synthèse PER'!F9="Industrie"),'Synthèse PER'!J9,0)</f>
        <v>0</v>
      </c>
      <c r="AJ9" s="290">
        <f>IF(('Synthèse PER'!P9="A faire")*AND('Synthèse PER'!F9="Citoyen"),'Synthèse PER'!J9,0)</f>
        <v>0</v>
      </c>
      <c r="AK9" s="290">
        <f>IF(('Synthèse PER'!P9="A faire")*AND('Synthèse PER'!F9="IDELUX"),'Synthèse PER'!J9,0)</f>
        <v>0</v>
      </c>
      <c r="AL9" s="290">
        <f>IF(('Synthèse PER'!P9="A faire")*AND('Synthèse PER'!F9="AC MESSANCY"),'Synthèse PER'!J9,0)</f>
        <v>0</v>
      </c>
      <c r="AM9" s="290">
        <f>IF(('Synthèse PER'!P9="A faire")*AND('Synthèse PER'!F9="Tertiaire"),'Synthèse PER'!J9,0)</f>
        <v>0</v>
      </c>
      <c r="AN9" s="288"/>
      <c r="AO9" s="290">
        <f>IF(('Synthèse PER'!P9="A faire")*AND('Synthèse PER'!E9="Territoire"),'Synthèse PER'!H9,0)</f>
        <v>0</v>
      </c>
      <c r="AP9" s="290">
        <f>IF(('Synthèse PER'!P9="A faire")*AND('Synthèse PER'!E9="Agriculture"),'Synthèse PER'!H9,0)</f>
        <v>0</v>
      </c>
      <c r="AQ9" s="290">
        <f>IF(('Synthèse PER'!P9="A faire")*AND('Synthèse PER'!E9="Industrie"),'Synthèse PER'!H9,0)</f>
        <v>0</v>
      </c>
      <c r="AR9" s="290">
        <f>IF(('Synthèse PER'!P9="A faire")*AND('Synthèse PER'!E9="Logement"),'Synthèse PER'!H9,0)</f>
        <v>0</v>
      </c>
      <c r="AS9" s="290">
        <f>IF(('Synthèse PER'!P9="A faire")*AND('Synthèse PER'!E9="Tertiaire"),'Synthèse PER'!H9,0)</f>
        <v>0</v>
      </c>
      <c r="AT9" s="290">
        <f>IF(('Synthèse PER'!P9="A faire")*AND('Synthèse PER'!E9="Transport"),'Synthèse PER'!H9,0)</f>
        <v>0</v>
      </c>
      <c r="AU9" s="290">
        <f>IF(('Synthèse PER'!P9="A faire")*AND('Synthèse PER'!E9="Communal"),'Synthèse PER'!H9,0)</f>
        <v>1000</v>
      </c>
      <c r="AV9" s="288"/>
      <c r="AW9" s="290">
        <f>IF(('Synthèse PER'!P9="A faire")*AND('Synthèse PER'!E9="Territoire"),'Synthèse PER'!J9,0)</f>
        <v>0</v>
      </c>
      <c r="AX9" s="290">
        <f>IF(('Synthèse PER'!P9="A faire")*AND('Synthèse PER'!E9="Agriculture"),'Synthèse PER'!J9,0)</f>
        <v>0</v>
      </c>
      <c r="AY9" s="290">
        <f>IF(('Synthèse PER'!P9="A faire")*AND('Synthèse PER'!E9="Industrie"),'Synthèse PER'!J9,0)</f>
        <v>0</v>
      </c>
      <c r="AZ9" s="290">
        <f>IF(('Synthèse PER'!P9="A faire")*AND('Synthèse PER'!E9="Logement"),'Synthèse PER'!J9,0)</f>
        <v>0</v>
      </c>
      <c r="BA9" s="290">
        <f>IF(('Synthèse PER'!P9="A faire")*AND('Synthèse PER'!E9="Tertiaire"),'Synthèse PER'!J9,0)</f>
        <v>0</v>
      </c>
      <c r="BB9" s="290">
        <f>IF(('Synthèse PER'!P9="A faire")*AND('Synthèse PER'!E9="Transport"),'Synthèse PER'!J9,0)</f>
        <v>0</v>
      </c>
      <c r="BC9" s="290">
        <f>IF(('Synthèse PER'!P9="A faire")*AND('Synthèse PER'!E9="Communal"),'Synthèse PER'!J9,0)</f>
        <v>0</v>
      </c>
      <c r="BD9" s="288"/>
      <c r="BE9" s="290">
        <f>IF(('Synthèse PER'!P9="A faire")*AND('Synthèse PER'!E9="Territoire"),'Synthèse PER'!K9,0)</f>
        <v>0</v>
      </c>
      <c r="BF9" s="290">
        <f>IF(('Synthèse PER'!P9="A faire")*AND('Synthèse PER'!E9="Agriculture"),'Synthèse PER'!K9,0)</f>
        <v>0</v>
      </c>
      <c r="BG9" s="290">
        <f>IF(('Synthèse PER'!P9="A faire")*AND('Synthèse PER'!E9="Industrie"),'Synthèse PER'!K9,0)</f>
        <v>0</v>
      </c>
      <c r="BH9" s="290">
        <f>IF(('Synthèse PER'!P9="A faire")*AND('Synthèse PER'!E9="Logement"),'Synthèse PER'!K9,0)</f>
        <v>0</v>
      </c>
      <c r="BI9" s="290">
        <f>IF(('Synthèse PER'!P9="A faire")*AND('Synthèse PER'!E9="Tertiaire"),'Synthèse PER'!K9,0)</f>
        <v>0</v>
      </c>
      <c r="BJ9" s="290">
        <f>IF(('Synthèse PER'!P9="A faire")*AND('Synthèse PER'!E9="Transport"),'Synthèse PER'!K9,0)</f>
        <v>0</v>
      </c>
      <c r="BK9" s="290">
        <f>IF(('Synthèse PER'!P9="A faire")*AND('Synthèse PER'!E9="Communal"),'Synthèse PER'!K9,0)</f>
        <v>1</v>
      </c>
      <c r="BL9" s="288"/>
      <c r="BM9" s="290">
        <f>IF(('Synthèse PER'!P9="A faire")*AND('Synthèse PER'!E9="Territoire"),'Synthèse PER'!L9,0)</f>
        <v>0</v>
      </c>
      <c r="BN9" s="290">
        <f>IF(('Synthèse PER'!P9="A faire")*AND('Synthèse PER'!E9="Agriculture"),'Synthèse PER'!L9,0)</f>
        <v>0</v>
      </c>
      <c r="BO9" s="290">
        <f>IF(('Synthèse PER'!P9="A faire")*AND('Synthèse PER'!E9="Industrie"),'Synthèse PER'!L9,0)</f>
        <v>0</v>
      </c>
      <c r="BP9" s="290">
        <f>IF(('Synthèse PER'!P9="A faire")*AND('Synthèse PER'!E9="Logement"),'Synthèse PER'!L9,0)</f>
        <v>0</v>
      </c>
      <c r="BQ9" s="290">
        <f>IF(('Synthèse PER'!P9="A faire")*AND('Synthèse PER'!E9="Tertiaire"),'Synthèse PER'!L9,0)</f>
        <v>0</v>
      </c>
      <c r="BR9" s="290">
        <f>IF(('Synthèse PER'!P9="A faire")*AND('Synthèse PER'!E9="Transport"),'Synthèse PER'!L9,0)</f>
        <v>0</v>
      </c>
      <c r="BS9" s="290">
        <f>IF(('Synthèse PER'!P9="A faire")*AND('Synthèse PER'!E9="Communal"),'Synthèse PER'!L9,0)</f>
        <v>0</v>
      </c>
      <c r="BT9" s="290">
        <f>IF(('Synthèse PER'!Q9="A faire")*AND('Synthèse PER'!F9="Communal"),'Synthèse PER'!M9,0)</f>
        <v>0</v>
      </c>
    </row>
    <row r="10" spans="1:72" s="139" customFormat="1" x14ac:dyDescent="0.25">
      <c r="A10" s="370" t="s">
        <v>135</v>
      </c>
      <c r="B10" s="481" t="str">
        <f>'ADO-9'!B$3:E$3</f>
        <v>Communication</v>
      </c>
      <c r="C10" s="419" t="str">
        <f>'ADO-9'!$B$8</f>
        <v>Ecoles</v>
      </c>
      <c r="D10" s="133" t="str">
        <f>'ADO-9'!$B$9</f>
        <v>Outils de sensibilisation</v>
      </c>
      <c r="E10" s="133" t="str">
        <f>'ADO-9'!$B$4</f>
        <v>Communal</v>
      </c>
      <c r="F10" s="133" t="str">
        <f>'ADO-9'!$B$12</f>
        <v>AC MESSANCY</v>
      </c>
      <c r="G10" s="133" t="str">
        <f>'ADO-9'!$B$6</f>
        <v>Fonds propres</v>
      </c>
      <c r="H10" s="134">
        <f>'ADO-9'!$B$17</f>
        <v>5000</v>
      </c>
      <c r="I10" s="133" t="str">
        <f>'ADO-9'!$B$7</f>
        <v>Néant</v>
      </c>
      <c r="J10" s="134">
        <f>'ADO-9'!$B$18</f>
        <v>0</v>
      </c>
      <c r="K10" s="134">
        <f>'ADO-9'!$B$21</f>
        <v>1</v>
      </c>
      <c r="L10" s="134">
        <f>'ADO-9'!$B$22</f>
        <v>0</v>
      </c>
      <c r="M10" s="135">
        <f>'ADO-9'!$B$24</f>
        <v>5000</v>
      </c>
      <c r="N10" s="135">
        <f>'ADO-9'!$B$19/1000</f>
        <v>0</v>
      </c>
      <c r="O10" s="136">
        <f>IF(H10=0,0,N10/(H10-J10)*1000)</f>
        <v>0</v>
      </c>
      <c r="P10" s="137" t="str">
        <f>'ADO-9'!$B$5</f>
        <v>A faire</v>
      </c>
      <c r="Q10" s="140">
        <f>'ADO-9'!$B$16</f>
        <v>2022</v>
      </c>
      <c r="R10" s="283" t="str">
        <f>IF(P10="terminé", N10,"")</f>
        <v/>
      </c>
      <c r="S10" s="138">
        <f t="shared" si="9"/>
        <v>0</v>
      </c>
      <c r="T10" s="138">
        <f t="shared" si="10"/>
        <v>0</v>
      </c>
      <c r="U10" s="138">
        <f t="shared" si="11"/>
        <v>0</v>
      </c>
      <c r="V10" s="138">
        <f t="shared" si="12"/>
        <v>0</v>
      </c>
      <c r="W10" s="138">
        <f t="shared" si="13"/>
        <v>0</v>
      </c>
      <c r="X10" s="138">
        <f t="shared" si="14"/>
        <v>0</v>
      </c>
      <c r="Y10" s="138">
        <f t="shared" si="15"/>
        <v>0</v>
      </c>
      <c r="AA10" s="287">
        <f>IF(('Synthèse PER'!P10="A faire")*AND('Synthèse PER'!F10="Agriculture"),'Synthèse PER'!H10,0)</f>
        <v>0</v>
      </c>
      <c r="AB10" s="287">
        <f>IF(('Synthèse PER'!P10="A faire")*AND('Synthèse PER'!F10="Industrie"),'Synthèse PER'!H10,0)</f>
        <v>0</v>
      </c>
      <c r="AC10" s="287">
        <f>IF(('Synthèse PER'!P10="A faire")*AND('Synthèse PER'!F10="Citoyen"),'Synthèse PER'!H10,0)</f>
        <v>0</v>
      </c>
      <c r="AD10" s="287">
        <f>IF(('Synthèse PER'!P10="A faire")*AND('Synthèse PER'!F10="IDELUX"),'Synthèse PER'!H10,0)</f>
        <v>0</v>
      </c>
      <c r="AE10" s="290">
        <f>IF(('Synthèse PER'!P10="A faire")*AND('Synthèse PER'!F10="AC MESSANCY"),'Synthèse PER'!H10,0)</f>
        <v>5000</v>
      </c>
      <c r="AF10" s="287">
        <f>IF(('Synthèse PER'!P10="A faire")*AND('Synthèse PER'!F10="Tertiaire"),'Synthèse PER'!H10,0)</f>
        <v>0</v>
      </c>
      <c r="AG10" s="288"/>
      <c r="AH10" s="290">
        <f>IF(('Synthèse PER'!P10="A faire")*AND('Synthèse PER'!F10="Agriculture"),'Synthèse PER'!J10,0)</f>
        <v>0</v>
      </c>
      <c r="AI10" s="290">
        <f>IF(('Synthèse PER'!P10="A faire")*AND('Synthèse PER'!F10="Industrie"),'Synthèse PER'!J10,0)</f>
        <v>0</v>
      </c>
      <c r="AJ10" s="290">
        <f>IF(('Synthèse PER'!P10="A faire")*AND('Synthèse PER'!F10="Citoyen"),'Synthèse PER'!J10,0)</f>
        <v>0</v>
      </c>
      <c r="AK10" s="290">
        <f>IF(('Synthèse PER'!P10="A faire")*AND('Synthèse PER'!F10="IDELUX"),'Synthèse PER'!J10,0)</f>
        <v>0</v>
      </c>
      <c r="AL10" s="290">
        <f>IF(('Synthèse PER'!P10="A faire")*AND('Synthèse PER'!F10="AC MESSANCY"),'Synthèse PER'!J10,0)</f>
        <v>0</v>
      </c>
      <c r="AM10" s="290">
        <f>IF(('Synthèse PER'!P10="A faire")*AND('Synthèse PER'!F10="Tertiaire"),'Synthèse PER'!J10,0)</f>
        <v>0</v>
      </c>
      <c r="AN10" s="288"/>
      <c r="AO10" s="290">
        <f>IF(('Synthèse PER'!P10="A faire")*AND('Synthèse PER'!E10="Territoire"),'Synthèse PER'!H10,0)</f>
        <v>0</v>
      </c>
      <c r="AP10" s="290">
        <f>IF(('Synthèse PER'!P10="A faire")*AND('Synthèse PER'!E10="Agriculture"),'Synthèse PER'!H10,0)</f>
        <v>0</v>
      </c>
      <c r="AQ10" s="290">
        <f>IF(('Synthèse PER'!P10="A faire")*AND('Synthèse PER'!E10="Industrie"),'Synthèse PER'!H10,0)</f>
        <v>0</v>
      </c>
      <c r="AR10" s="290">
        <f>IF(('Synthèse PER'!P10="A faire")*AND('Synthèse PER'!E10="Logement"),'Synthèse PER'!H10,0)</f>
        <v>0</v>
      </c>
      <c r="AS10" s="290">
        <f>IF(('Synthèse PER'!P10="A faire")*AND('Synthèse PER'!E10="Tertiaire"),'Synthèse PER'!H10,0)</f>
        <v>0</v>
      </c>
      <c r="AT10" s="290">
        <f>IF(('Synthèse PER'!P10="A faire")*AND('Synthèse PER'!E10="Transport"),'Synthèse PER'!H10,0)</f>
        <v>0</v>
      </c>
      <c r="AU10" s="290">
        <f>IF(('Synthèse PER'!P10="A faire")*AND('Synthèse PER'!E10="Communal"),'Synthèse PER'!H10,0)</f>
        <v>5000</v>
      </c>
      <c r="AV10" s="288"/>
      <c r="AW10" s="290">
        <f>IF(('Synthèse PER'!P10="A faire")*AND('Synthèse PER'!E10="Territoire"),'Synthèse PER'!J10,0)</f>
        <v>0</v>
      </c>
      <c r="AX10" s="290">
        <f>IF(('Synthèse PER'!P10="A faire")*AND('Synthèse PER'!E10="Agriculture"),'Synthèse PER'!J10,0)</f>
        <v>0</v>
      </c>
      <c r="AY10" s="290">
        <f>IF(('Synthèse PER'!P10="A faire")*AND('Synthèse PER'!E10="Industrie"),'Synthèse PER'!J10,0)</f>
        <v>0</v>
      </c>
      <c r="AZ10" s="290">
        <f>IF(('Synthèse PER'!P10="A faire")*AND('Synthèse PER'!E10="Logement"),'Synthèse PER'!J10,0)</f>
        <v>0</v>
      </c>
      <c r="BA10" s="290">
        <f>IF(('Synthèse PER'!P10="A faire")*AND('Synthèse PER'!E10="Tertiaire"),'Synthèse PER'!J10,0)</f>
        <v>0</v>
      </c>
      <c r="BB10" s="290">
        <f>IF(('Synthèse PER'!P10="A faire")*AND('Synthèse PER'!E10="Transport"),'Synthèse PER'!J10,0)</f>
        <v>0</v>
      </c>
      <c r="BC10" s="290">
        <f>IF(('Synthèse PER'!P10="A faire")*AND('Synthèse PER'!E10="Communal"),'Synthèse PER'!J10,0)</f>
        <v>0</v>
      </c>
      <c r="BD10" s="288"/>
      <c r="BE10" s="290">
        <f>IF(('Synthèse PER'!P10="A faire")*AND('Synthèse PER'!E10="Territoire"),'Synthèse PER'!K10,0)</f>
        <v>0</v>
      </c>
      <c r="BF10" s="290">
        <f>IF(('Synthèse PER'!P10="A faire")*AND('Synthèse PER'!E10="Agriculture"),'Synthèse PER'!K10,0)</f>
        <v>0</v>
      </c>
      <c r="BG10" s="290">
        <f>IF(('Synthèse PER'!P10="A faire")*AND('Synthèse PER'!E10="Industrie"),'Synthèse PER'!K10,0)</f>
        <v>0</v>
      </c>
      <c r="BH10" s="290">
        <f>IF(('Synthèse PER'!P10="A faire")*AND('Synthèse PER'!E10="Logement"),'Synthèse PER'!K10,0)</f>
        <v>0</v>
      </c>
      <c r="BI10" s="290">
        <f>IF(('Synthèse PER'!P10="A faire")*AND('Synthèse PER'!E10="Tertiaire"),'Synthèse PER'!K10,0)</f>
        <v>0</v>
      </c>
      <c r="BJ10" s="290">
        <f>IF(('Synthèse PER'!P10="A faire")*AND('Synthèse PER'!E10="Transport"),'Synthèse PER'!K10,0)</f>
        <v>0</v>
      </c>
      <c r="BK10" s="290">
        <f>IF(('Synthèse PER'!P10="A faire")*AND('Synthèse PER'!E10="Communal"),'Synthèse PER'!K10,0)</f>
        <v>1</v>
      </c>
      <c r="BL10" s="288"/>
      <c r="BM10" s="290">
        <f>IF(('Synthèse PER'!P10="A faire")*AND('Synthèse PER'!E10="Territoire"),'Synthèse PER'!L10,0)</f>
        <v>0</v>
      </c>
      <c r="BN10" s="290">
        <f>IF(('Synthèse PER'!P10="A faire")*AND('Synthèse PER'!E10="Agriculture"),'Synthèse PER'!L10,0)</f>
        <v>0</v>
      </c>
      <c r="BO10" s="290">
        <f>IF(('Synthèse PER'!P10="A faire")*AND('Synthèse PER'!E10="Industrie"),'Synthèse PER'!L10,0)</f>
        <v>0</v>
      </c>
      <c r="BP10" s="290">
        <f>IF(('Synthèse PER'!P10="A faire")*AND('Synthèse PER'!E10="Logement"),'Synthèse PER'!L10,0)</f>
        <v>0</v>
      </c>
      <c r="BQ10" s="290">
        <f>IF(('Synthèse PER'!P10="A faire")*AND('Synthèse PER'!E10="Tertiaire"),'Synthèse PER'!L10,0)</f>
        <v>0</v>
      </c>
      <c r="BR10" s="290">
        <f>IF(('Synthèse PER'!P10="A faire")*AND('Synthèse PER'!E10="Transport"),'Synthèse PER'!L10,0)</f>
        <v>0</v>
      </c>
      <c r="BS10" s="290">
        <f>IF(('Synthèse PER'!P10="A faire")*AND('Synthèse PER'!E10="Communal"),'Synthèse PER'!L10,0)</f>
        <v>0</v>
      </c>
      <c r="BT10" s="290">
        <f>IF(('Synthèse PER'!Q10="A faire")*AND('Synthèse PER'!F10="Communal"),'Synthèse PER'!M10,0)</f>
        <v>0</v>
      </c>
    </row>
    <row r="11" spans="1:72" s="139" customFormat="1" x14ac:dyDescent="0.25">
      <c r="A11" s="370" t="s">
        <v>244</v>
      </c>
      <c r="B11" s="565" t="str">
        <f>'ADO-10'!B$3:E$3</f>
        <v>Communication</v>
      </c>
      <c r="C11" s="419" t="str">
        <f>'ADO-10'!$B$8</f>
        <v>Tous publics</v>
      </c>
      <c r="D11" s="133" t="str">
        <f>'ADO-10'!$B$9</f>
        <v>Visites de terrain</v>
      </c>
      <c r="E11" s="133" t="str">
        <f>'ADO-10'!$B$4</f>
        <v>Communal</v>
      </c>
      <c r="F11" s="133" t="str">
        <f>'ADO-10'!$B$12</f>
        <v>AC MESSANCY</v>
      </c>
      <c r="G11" s="133" t="str">
        <f>'ADO-10'!$B$6</f>
        <v>Fonds propres</v>
      </c>
      <c r="H11" s="134">
        <f>'ADO-10'!$B$17</f>
        <v>5000</v>
      </c>
      <c r="I11" s="133" t="str">
        <f>'ADO-10'!$B$7</f>
        <v>Néant</v>
      </c>
      <c r="J11" s="134">
        <f>'ADO-10'!$B$18</f>
        <v>0</v>
      </c>
      <c r="K11" s="134">
        <f>'ADO-10'!$B$21</f>
        <v>1</v>
      </c>
      <c r="L11" s="134">
        <f>'ADO-10'!$B$22</f>
        <v>0</v>
      </c>
      <c r="M11" s="135">
        <f>'ADO-10'!$B$24</f>
        <v>5000</v>
      </c>
      <c r="N11" s="135">
        <f>'ADO-10'!$B$19/1000</f>
        <v>0</v>
      </c>
      <c r="O11" s="136">
        <f t="shared" ref="O11:O12" si="16">IF(H11=0,0,N11/(H11-J11)*1000)</f>
        <v>0</v>
      </c>
      <c r="P11" s="137" t="str">
        <f>'ADO-10'!$B$5</f>
        <v>A faire</v>
      </c>
      <c r="Q11" s="140">
        <f>'ADO-10'!$B$16</f>
        <v>2030</v>
      </c>
      <c r="R11" s="283" t="str">
        <f t="shared" ref="R11:R12" si="17">IF(P11="terminé", N11,"")</f>
        <v/>
      </c>
      <c r="S11" s="138">
        <f t="shared" ref="S11:S12" si="18">IF((P11="Terminé")*AND(E11="Territoire"),N11,0)</f>
        <v>0</v>
      </c>
      <c r="T11" s="138">
        <f t="shared" ref="T11:T12" si="19">IF((P11="Terminé")*AND(E11="Agriculture"),N11,0)</f>
        <v>0</v>
      </c>
      <c r="U11" s="138">
        <f t="shared" ref="U11:U12" si="20">IF((P11="Terminé")*AND(E11="Industrie"), N11,0)</f>
        <v>0</v>
      </c>
      <c r="V11" s="138">
        <f t="shared" ref="V11:V12" si="21">IF((P11="Terminé")*AND(E11="Logement"),N11,0)</f>
        <v>0</v>
      </c>
      <c r="W11" s="138">
        <f t="shared" ref="W11:W12" si="22">IF((P11="Terminé")*AND(E11="Tertiaire"),N11,0)</f>
        <v>0</v>
      </c>
      <c r="X11" s="138">
        <f t="shared" ref="X11:X12" si="23">IF((P11="Terminé")*AND(E11="Transport"),N11,0)</f>
        <v>0</v>
      </c>
      <c r="Y11" s="138">
        <f t="shared" ref="Y11:Y12" si="24">IF((P11="Terminé")*AND(E11="Communal"),N11,0)</f>
        <v>0</v>
      </c>
      <c r="AA11" s="287">
        <f>IF(('Synthèse PER'!P11="A faire")*AND('Synthèse PER'!F11="Agriculture"),'Synthèse PER'!H11,0)</f>
        <v>0</v>
      </c>
      <c r="AB11" s="287">
        <f>IF(('Synthèse PER'!P11="A faire")*AND('Synthèse PER'!F11="Industrie"),'Synthèse PER'!H11,0)</f>
        <v>0</v>
      </c>
      <c r="AC11" s="287">
        <f>IF(('Synthèse PER'!P11="A faire")*AND('Synthèse PER'!F11="Citoyen"),'Synthèse PER'!H11,0)</f>
        <v>0</v>
      </c>
      <c r="AD11" s="287">
        <f>IF(('Synthèse PER'!P11="A faire")*AND('Synthèse PER'!F11="IDELUX"),'Synthèse PER'!H11,0)</f>
        <v>0</v>
      </c>
      <c r="AE11" s="290">
        <f>IF(('Synthèse PER'!P11="A faire")*AND('Synthèse PER'!F11="AC MESSANCY"),'Synthèse PER'!H11,0)</f>
        <v>5000</v>
      </c>
      <c r="AF11" s="287">
        <f>IF(('Synthèse PER'!P11="A faire")*AND('Synthèse PER'!F11="Tertiaire"),'Synthèse PER'!H11,0)</f>
        <v>0</v>
      </c>
      <c r="AG11" s="288"/>
      <c r="AH11" s="290">
        <f>IF(('Synthèse PER'!P11="A faire")*AND('Synthèse PER'!F11="Agriculture"),'Synthèse PER'!J11,0)</f>
        <v>0</v>
      </c>
      <c r="AI11" s="290">
        <f>IF(('Synthèse PER'!P11="A faire")*AND('Synthèse PER'!F11="Industrie"),'Synthèse PER'!J11,0)</f>
        <v>0</v>
      </c>
      <c r="AJ11" s="290">
        <f>IF(('Synthèse PER'!P11="A faire")*AND('Synthèse PER'!F11="Citoyen"),'Synthèse PER'!J11,0)</f>
        <v>0</v>
      </c>
      <c r="AK11" s="290">
        <f>IF(('Synthèse PER'!P11="A faire")*AND('Synthèse PER'!F11="IDELUX"),'Synthèse PER'!J11,0)</f>
        <v>0</v>
      </c>
      <c r="AL11" s="290">
        <f>IF(('Synthèse PER'!P11="A faire")*AND('Synthèse PER'!F11="AC MESSANCY"),'Synthèse PER'!J11,0)</f>
        <v>0</v>
      </c>
      <c r="AM11" s="290">
        <f>IF(('Synthèse PER'!P11="A faire")*AND('Synthèse PER'!F11="Tertiaire"),'Synthèse PER'!J11,0)</f>
        <v>0</v>
      </c>
      <c r="AN11" s="288"/>
      <c r="AO11" s="290">
        <f>IF(('Synthèse PER'!P11="A faire")*AND('Synthèse PER'!E11="Territoire"),'Synthèse PER'!H11,0)</f>
        <v>0</v>
      </c>
      <c r="AP11" s="290">
        <f>IF(('Synthèse PER'!P11="A faire")*AND('Synthèse PER'!E11="Agriculture"),'Synthèse PER'!H11,0)</f>
        <v>0</v>
      </c>
      <c r="AQ11" s="290">
        <f>IF(('Synthèse PER'!P11="A faire")*AND('Synthèse PER'!E11="Industrie"),'Synthèse PER'!H11,0)</f>
        <v>0</v>
      </c>
      <c r="AR11" s="290">
        <f>IF(('Synthèse PER'!P11="A faire")*AND('Synthèse PER'!E11="Logement"),'Synthèse PER'!H11,0)</f>
        <v>0</v>
      </c>
      <c r="AS11" s="290">
        <f>IF(('Synthèse PER'!P11="A faire")*AND('Synthèse PER'!E11="Tertiaire"),'Synthèse PER'!H11,0)</f>
        <v>0</v>
      </c>
      <c r="AT11" s="290">
        <f>IF(('Synthèse PER'!P11="A faire")*AND('Synthèse PER'!E11="Transport"),'Synthèse PER'!H11,0)</f>
        <v>0</v>
      </c>
      <c r="AU11" s="290">
        <f>IF(('Synthèse PER'!P11="A faire")*AND('Synthèse PER'!E11="Communal"),'Synthèse PER'!H11,0)</f>
        <v>5000</v>
      </c>
      <c r="AV11" s="288"/>
      <c r="AW11" s="290">
        <f>IF(('Synthèse PER'!P11="A faire")*AND('Synthèse PER'!E11="Territoire"),'Synthèse PER'!J11,0)</f>
        <v>0</v>
      </c>
      <c r="AX11" s="290">
        <f>IF(('Synthèse PER'!P11="A faire")*AND('Synthèse PER'!E11="Agriculture"),'Synthèse PER'!J11,0)</f>
        <v>0</v>
      </c>
      <c r="AY11" s="290">
        <f>IF(('Synthèse PER'!P11="A faire")*AND('Synthèse PER'!E11="Industrie"),'Synthèse PER'!J11,0)</f>
        <v>0</v>
      </c>
      <c r="AZ11" s="290">
        <f>IF(('Synthèse PER'!P11="A faire")*AND('Synthèse PER'!E11="Logement"),'Synthèse PER'!J11,0)</f>
        <v>0</v>
      </c>
      <c r="BA11" s="290">
        <f>IF(('Synthèse PER'!P11="A faire")*AND('Synthèse PER'!E11="Tertiaire"),'Synthèse PER'!J11,0)</f>
        <v>0</v>
      </c>
      <c r="BB11" s="290">
        <f>IF(('Synthèse PER'!P11="A faire")*AND('Synthèse PER'!E11="Transport"),'Synthèse PER'!J11,0)</f>
        <v>0</v>
      </c>
      <c r="BC11" s="290">
        <f>IF(('Synthèse PER'!P11="A faire")*AND('Synthèse PER'!E11="Communal"),'Synthèse PER'!J11,0)</f>
        <v>0</v>
      </c>
      <c r="BD11" s="288"/>
      <c r="BE11" s="290">
        <f>IF(('Synthèse PER'!P11="A faire")*AND('Synthèse PER'!E11="Territoire"),'Synthèse PER'!K11,0)</f>
        <v>0</v>
      </c>
      <c r="BF11" s="290">
        <f>IF(('Synthèse PER'!P11="A faire")*AND('Synthèse PER'!E11="Agriculture"),'Synthèse PER'!K11,0)</f>
        <v>0</v>
      </c>
      <c r="BG11" s="290">
        <f>IF(('Synthèse PER'!P11="A faire")*AND('Synthèse PER'!E11="Industrie"),'Synthèse PER'!K11,0)</f>
        <v>0</v>
      </c>
      <c r="BH11" s="290">
        <f>IF(('Synthèse PER'!P11="A faire")*AND('Synthèse PER'!E11="Logement"),'Synthèse PER'!K11,0)</f>
        <v>0</v>
      </c>
      <c r="BI11" s="290">
        <f>IF(('Synthèse PER'!P11="A faire")*AND('Synthèse PER'!E11="Tertiaire"),'Synthèse PER'!K11,0)</f>
        <v>0</v>
      </c>
      <c r="BJ11" s="290">
        <f>IF(('Synthèse PER'!P11="A faire")*AND('Synthèse PER'!E11="Transport"),'Synthèse PER'!K11,0)</f>
        <v>0</v>
      </c>
      <c r="BK11" s="290">
        <f>IF(('Synthèse PER'!P11="A faire")*AND('Synthèse PER'!E11="Communal"),'Synthèse PER'!K11,0)</f>
        <v>1</v>
      </c>
      <c r="BL11" s="288"/>
      <c r="BM11" s="290">
        <f>IF(('Synthèse PER'!P11="A faire")*AND('Synthèse PER'!E11="Territoire"),'Synthèse PER'!L11,0)</f>
        <v>0</v>
      </c>
      <c r="BN11" s="290">
        <f>IF(('Synthèse PER'!P11="A faire")*AND('Synthèse PER'!E11="Agriculture"),'Synthèse PER'!L11,0)</f>
        <v>0</v>
      </c>
      <c r="BO11" s="290">
        <f>IF(('Synthèse PER'!P11="A faire")*AND('Synthèse PER'!E11="Industrie"),'Synthèse PER'!L11,0)</f>
        <v>0</v>
      </c>
      <c r="BP11" s="290">
        <f>IF(('Synthèse PER'!P11="A faire")*AND('Synthèse PER'!E11="Logement"),'Synthèse PER'!L11,0)</f>
        <v>0</v>
      </c>
      <c r="BQ11" s="290">
        <f>IF(('Synthèse PER'!P11="A faire")*AND('Synthèse PER'!E11="Tertiaire"),'Synthèse PER'!L11,0)</f>
        <v>0</v>
      </c>
      <c r="BR11" s="290">
        <f>IF(('Synthèse PER'!P11="A faire")*AND('Synthèse PER'!E11="Transport"),'Synthèse PER'!L11,0)</f>
        <v>0</v>
      </c>
      <c r="BS11" s="290">
        <f>IF(('Synthèse PER'!P11="A faire")*AND('Synthèse PER'!E11="Communal"),'Synthèse PER'!L11,0)</f>
        <v>0</v>
      </c>
      <c r="BT11" s="290"/>
    </row>
    <row r="12" spans="1:72" s="139" customFormat="1" x14ac:dyDescent="0.25">
      <c r="A12" s="590" t="s">
        <v>245</v>
      </c>
      <c r="B12" s="565" t="str">
        <f>'ADO-11'!B$3:E$3</f>
        <v>Communication</v>
      </c>
      <c r="C12" s="419" t="str">
        <f>'ADO-11'!$B$8</f>
        <v>Citoyens</v>
      </c>
      <c r="D12" s="133" t="str">
        <f>'ADO-11'!$B$9</f>
        <v>Smart city</v>
      </c>
      <c r="E12" s="133" t="str">
        <f>'ADO-11'!$B$4</f>
        <v>Communal</v>
      </c>
      <c r="F12" s="133" t="str">
        <f>'ADO-11'!$B$12</f>
        <v>AC MESSANCY</v>
      </c>
      <c r="G12" s="133" t="str">
        <f>'ADO-11'!$B$6</f>
        <v>Fonds propres</v>
      </c>
      <c r="H12" s="134">
        <f>'ADO-11'!$B$17</f>
        <v>5000</v>
      </c>
      <c r="I12" s="133" t="str">
        <f>'ADO-11'!$B$7</f>
        <v>Néant</v>
      </c>
      <c r="J12" s="134">
        <f>'ADO-11'!$B$18</f>
        <v>0</v>
      </c>
      <c r="K12" s="134">
        <f>'ADO-11'!$B$21</f>
        <v>1</v>
      </c>
      <c r="L12" s="134">
        <f>'ADO-11'!$B$22</f>
        <v>0</v>
      </c>
      <c r="M12" s="135">
        <f>'ADO-11'!$B$24</f>
        <v>5000</v>
      </c>
      <c r="N12" s="135">
        <f>'ADO-11'!$B$19/1000</f>
        <v>0</v>
      </c>
      <c r="O12" s="136">
        <f t="shared" si="16"/>
        <v>0</v>
      </c>
      <c r="P12" s="137" t="str">
        <f>'ADO-11'!$B$5</f>
        <v>A faire</v>
      </c>
      <c r="Q12" s="140">
        <f>'ADO-11'!$B$16</f>
        <v>2022</v>
      </c>
      <c r="R12" s="283" t="str">
        <f t="shared" si="17"/>
        <v/>
      </c>
      <c r="S12" s="138">
        <f t="shared" si="18"/>
        <v>0</v>
      </c>
      <c r="T12" s="138">
        <f t="shared" si="19"/>
        <v>0</v>
      </c>
      <c r="U12" s="138">
        <f t="shared" si="20"/>
        <v>0</v>
      </c>
      <c r="V12" s="138">
        <f t="shared" si="21"/>
        <v>0</v>
      </c>
      <c r="W12" s="138">
        <f t="shared" si="22"/>
        <v>0</v>
      </c>
      <c r="X12" s="138">
        <f t="shared" si="23"/>
        <v>0</v>
      </c>
      <c r="Y12" s="138">
        <f t="shared" si="24"/>
        <v>0</v>
      </c>
      <c r="AA12" s="287">
        <f>IF(('Synthèse PER'!P12="A faire")*AND('Synthèse PER'!F12="Agriculture"),'Synthèse PER'!H12,0)</f>
        <v>0</v>
      </c>
      <c r="AB12" s="287">
        <f>IF(('Synthèse PER'!P12="A faire")*AND('Synthèse PER'!F12="Industrie"),'Synthèse PER'!H12,0)</f>
        <v>0</v>
      </c>
      <c r="AC12" s="287">
        <f>IF(('Synthèse PER'!P12="A faire")*AND('Synthèse PER'!F12="Citoyen"),'Synthèse PER'!H12,0)</f>
        <v>0</v>
      </c>
      <c r="AD12" s="287">
        <f>IF(('Synthèse PER'!P12="A faire")*AND('Synthèse PER'!F12="IDELUX"),'Synthèse PER'!H12,0)</f>
        <v>0</v>
      </c>
      <c r="AE12" s="290">
        <f>IF(('Synthèse PER'!P12="A faire")*AND('Synthèse PER'!F12="AC MESSANCY"),'Synthèse PER'!H12,0)</f>
        <v>5000</v>
      </c>
      <c r="AF12" s="287">
        <f>IF(('Synthèse PER'!P12="A faire")*AND('Synthèse PER'!F12="Tertiaire"),'Synthèse PER'!H12,0)</f>
        <v>0</v>
      </c>
      <c r="AG12" s="288"/>
      <c r="AH12" s="290">
        <f>IF(('Synthèse PER'!P12="A faire")*AND('Synthèse PER'!F12="Agriculture"),'Synthèse PER'!J12,0)</f>
        <v>0</v>
      </c>
      <c r="AI12" s="290">
        <f>IF(('Synthèse PER'!P12="A faire")*AND('Synthèse PER'!F12="Industrie"),'Synthèse PER'!J12,0)</f>
        <v>0</v>
      </c>
      <c r="AJ12" s="290">
        <f>IF(('Synthèse PER'!P12="A faire")*AND('Synthèse PER'!F12="Citoyen"),'Synthèse PER'!J12,0)</f>
        <v>0</v>
      </c>
      <c r="AK12" s="290">
        <f>IF(('Synthèse PER'!P12="A faire")*AND('Synthèse PER'!F12="IDELUX"),'Synthèse PER'!J12,0)</f>
        <v>0</v>
      </c>
      <c r="AL12" s="290">
        <f>IF(('Synthèse PER'!P12="A faire")*AND('Synthèse PER'!F12="AC MESSANCY"),'Synthèse PER'!J12,0)</f>
        <v>0</v>
      </c>
      <c r="AM12" s="290">
        <f>IF(('Synthèse PER'!P12="A faire")*AND('Synthèse PER'!F12="Tertiaire"),'Synthèse PER'!J12,0)</f>
        <v>0</v>
      </c>
      <c r="AN12" s="288"/>
      <c r="AO12" s="290">
        <f>IF(('Synthèse PER'!P12="A faire")*AND('Synthèse PER'!E12="Territoire"),'Synthèse PER'!H12,0)</f>
        <v>0</v>
      </c>
      <c r="AP12" s="290">
        <f>IF(('Synthèse PER'!P12="A faire")*AND('Synthèse PER'!E12="Agriculture"),'Synthèse PER'!H12,0)</f>
        <v>0</v>
      </c>
      <c r="AQ12" s="290">
        <f>IF(('Synthèse PER'!P12="A faire")*AND('Synthèse PER'!E12="Industrie"),'Synthèse PER'!H12,0)</f>
        <v>0</v>
      </c>
      <c r="AR12" s="290">
        <f>IF(('Synthèse PER'!P12="A faire")*AND('Synthèse PER'!E12="Logement"),'Synthèse PER'!H12,0)</f>
        <v>0</v>
      </c>
      <c r="AS12" s="290">
        <f>IF(('Synthèse PER'!P12="A faire")*AND('Synthèse PER'!E12="Tertiaire"),'Synthèse PER'!H12,0)</f>
        <v>0</v>
      </c>
      <c r="AT12" s="290">
        <f>IF(('Synthèse PER'!P12="A faire")*AND('Synthèse PER'!E12="Transport"),'Synthèse PER'!H12,0)</f>
        <v>0</v>
      </c>
      <c r="AU12" s="290">
        <f>IF(('Synthèse PER'!P12="A faire")*AND('Synthèse PER'!E12="Communal"),'Synthèse PER'!H12,0)</f>
        <v>5000</v>
      </c>
      <c r="AV12" s="288"/>
      <c r="AW12" s="290">
        <f>IF(('Synthèse PER'!P12="A faire")*AND('Synthèse PER'!E12="Territoire"),'Synthèse PER'!J12,0)</f>
        <v>0</v>
      </c>
      <c r="AX12" s="290">
        <f>IF(('Synthèse PER'!P12="A faire")*AND('Synthèse PER'!E12="Agriculture"),'Synthèse PER'!J12,0)</f>
        <v>0</v>
      </c>
      <c r="AY12" s="290">
        <f>IF(('Synthèse PER'!P12="A faire")*AND('Synthèse PER'!E12="Industrie"),'Synthèse PER'!J12,0)</f>
        <v>0</v>
      </c>
      <c r="AZ12" s="290">
        <f>IF(('Synthèse PER'!P12="A faire")*AND('Synthèse PER'!E12="Logement"),'Synthèse PER'!J12,0)</f>
        <v>0</v>
      </c>
      <c r="BA12" s="290">
        <f>IF(('Synthèse PER'!P12="A faire")*AND('Synthèse PER'!E12="Tertiaire"),'Synthèse PER'!J12,0)</f>
        <v>0</v>
      </c>
      <c r="BB12" s="290">
        <f>IF(('Synthèse PER'!P12="A faire")*AND('Synthèse PER'!E12="Transport"),'Synthèse PER'!J12,0)</f>
        <v>0</v>
      </c>
      <c r="BC12" s="290">
        <f>IF(('Synthèse PER'!P12="A faire")*AND('Synthèse PER'!E12="Communal"),'Synthèse PER'!J12,0)</f>
        <v>0</v>
      </c>
      <c r="BD12" s="288"/>
      <c r="BE12" s="290">
        <f>IF(('Synthèse PER'!P12="A faire")*AND('Synthèse PER'!E12="Territoire"),'Synthèse PER'!K12,0)</f>
        <v>0</v>
      </c>
      <c r="BF12" s="290">
        <f>IF(('Synthèse PER'!P12="A faire")*AND('Synthèse PER'!E12="Agriculture"),'Synthèse PER'!K12,0)</f>
        <v>0</v>
      </c>
      <c r="BG12" s="290">
        <f>IF(('Synthèse PER'!P12="A faire")*AND('Synthèse PER'!E12="Industrie"),'Synthèse PER'!K12,0)</f>
        <v>0</v>
      </c>
      <c r="BH12" s="290">
        <f>IF(('Synthèse PER'!P12="A faire")*AND('Synthèse PER'!E12="Logement"),'Synthèse PER'!K12,0)</f>
        <v>0</v>
      </c>
      <c r="BI12" s="290">
        <f>IF(('Synthèse PER'!P12="A faire")*AND('Synthèse PER'!E12="Tertiaire"),'Synthèse PER'!K12,0)</f>
        <v>0</v>
      </c>
      <c r="BJ12" s="290">
        <f>IF(('Synthèse PER'!P12="A faire")*AND('Synthèse PER'!E12="Transport"),'Synthèse PER'!K12,0)</f>
        <v>0</v>
      </c>
      <c r="BK12" s="290">
        <f>IF(('Synthèse PER'!P12="A faire")*AND('Synthèse PER'!E12="Communal"),'Synthèse PER'!K12,0)</f>
        <v>1</v>
      </c>
      <c r="BL12" s="288"/>
      <c r="BM12" s="290">
        <f>IF(('Synthèse PER'!P12="A faire")*AND('Synthèse PER'!E12="Territoire"),'Synthèse PER'!L12,0)</f>
        <v>0</v>
      </c>
      <c r="BN12" s="290">
        <f>IF(('Synthèse PER'!P12="A faire")*AND('Synthèse PER'!E12="Agriculture"),'Synthèse PER'!L12,0)</f>
        <v>0</v>
      </c>
      <c r="BO12" s="290">
        <f>IF(('Synthèse PER'!P12="A faire")*AND('Synthèse PER'!E12="Industrie"),'Synthèse PER'!L12,0)</f>
        <v>0</v>
      </c>
      <c r="BP12" s="290">
        <f>IF(('Synthèse PER'!P12="A faire")*AND('Synthèse PER'!E12="Logement"),'Synthèse PER'!L12,0)</f>
        <v>0</v>
      </c>
      <c r="BQ12" s="290">
        <f>IF(('Synthèse PER'!P12="A faire")*AND('Synthèse PER'!E12="Tertiaire"),'Synthèse PER'!L12,0)</f>
        <v>0</v>
      </c>
      <c r="BR12" s="290">
        <f>IF(('Synthèse PER'!P12="A faire")*AND('Synthèse PER'!E12="Transport"),'Synthèse PER'!L12,0)</f>
        <v>0</v>
      </c>
      <c r="BS12" s="290">
        <f>IF(('Synthèse PER'!P12="A faire")*AND('Synthèse PER'!E12="Communal"),'Synthèse PER'!L12,0)</f>
        <v>0</v>
      </c>
      <c r="BT12" s="290"/>
    </row>
    <row r="13" spans="1:72" s="139" customFormat="1" x14ac:dyDescent="0.25">
      <c r="A13" s="370" t="s">
        <v>770</v>
      </c>
      <c r="B13" s="414" t="str">
        <f>'ADO-20'!B$3:E$3</f>
        <v>Mobilisation</v>
      </c>
      <c r="C13" s="419" t="str">
        <f>'ADO-20'!$B$8</f>
        <v>PAED</v>
      </c>
      <c r="D13" s="133" t="str">
        <f>'ADO-20'!$B$9</f>
        <v>Cellule Energie et Développement Durable</v>
      </c>
      <c r="E13" s="133" t="str">
        <f>'ADO-20'!$B$4</f>
        <v>Territoire</v>
      </c>
      <c r="F13" s="133" t="str">
        <f>'ADO-20'!$B$12</f>
        <v>AC MESSANCY</v>
      </c>
      <c r="G13" s="133" t="str">
        <f>'ADO-20'!$B$6</f>
        <v>Fonds propres</v>
      </c>
      <c r="H13" s="134">
        <f>'ADO-20'!$B$17</f>
        <v>83655</v>
      </c>
      <c r="I13" s="133" t="str">
        <f>'ADO-20'!$B$7</f>
        <v>Subs RW</v>
      </c>
      <c r="J13" s="134">
        <f>'ADO-20'!$B$18</f>
        <v>0</v>
      </c>
      <c r="K13" s="134">
        <f>'ADO-20'!$B$21</f>
        <v>1</v>
      </c>
      <c r="L13" s="134">
        <f>'ADO-20'!$B$22</f>
        <v>0</v>
      </c>
      <c r="M13" s="135">
        <f>'ADO-20'!$B$24</f>
        <v>83655</v>
      </c>
      <c r="N13" s="135">
        <f>'ADO-20'!$B$19/1000</f>
        <v>0</v>
      </c>
      <c r="O13" s="136">
        <f t="shared" si="0"/>
        <v>0</v>
      </c>
      <c r="P13" s="137" t="str">
        <f>'ADO-20'!$B$5</f>
        <v>Terminé</v>
      </c>
      <c r="Q13" s="140">
        <f>'ADO-20'!$B$16</f>
        <v>2030</v>
      </c>
      <c r="R13" s="283">
        <f t="shared" si="1"/>
        <v>0</v>
      </c>
      <c r="S13" s="138">
        <f t="shared" si="9"/>
        <v>0</v>
      </c>
      <c r="T13" s="138">
        <f t="shared" si="10"/>
        <v>0</v>
      </c>
      <c r="U13" s="138">
        <f t="shared" si="11"/>
        <v>0</v>
      </c>
      <c r="V13" s="138">
        <f t="shared" si="12"/>
        <v>0</v>
      </c>
      <c r="W13" s="138">
        <f t="shared" si="13"/>
        <v>0</v>
      </c>
      <c r="X13" s="138">
        <f t="shared" si="14"/>
        <v>0</v>
      </c>
      <c r="Y13" s="138">
        <f t="shared" si="15"/>
        <v>0</v>
      </c>
      <c r="AA13" s="287">
        <f>IF(('Synthèse PER'!P13="A faire")*AND('Synthèse PER'!F13="Agriculture"),'Synthèse PER'!H13,0)</f>
        <v>0</v>
      </c>
      <c r="AB13" s="287">
        <f>IF(('Synthèse PER'!P13="A faire")*AND('Synthèse PER'!F13="Industrie"),'Synthèse PER'!H13,0)</f>
        <v>0</v>
      </c>
      <c r="AC13" s="287">
        <f>IF(('Synthèse PER'!P13="A faire")*AND('Synthèse PER'!F13="Citoyen"),'Synthèse PER'!H13,0)</f>
        <v>0</v>
      </c>
      <c r="AD13" s="287">
        <f>IF(('Synthèse PER'!P13="A faire")*AND('Synthèse PER'!F13="IDELUX"),'Synthèse PER'!H13,0)</f>
        <v>0</v>
      </c>
      <c r="AE13" s="290">
        <f>IF(('Synthèse PER'!P13="A faire")*AND('Synthèse PER'!F13="AC MESSANCY"),'Synthèse PER'!H13,0)</f>
        <v>0</v>
      </c>
      <c r="AF13" s="287">
        <f>IF(('Synthèse PER'!P13="A faire")*AND('Synthèse PER'!F13="Tertiaire"),'Synthèse PER'!H13,0)</f>
        <v>0</v>
      </c>
      <c r="AG13" s="288"/>
      <c r="AH13" s="290">
        <f>IF(('Synthèse PER'!P13="A faire")*AND('Synthèse PER'!F13="Agriculture"),'Synthèse PER'!J13,0)</f>
        <v>0</v>
      </c>
      <c r="AI13" s="290">
        <f>IF(('Synthèse PER'!P13="A faire")*AND('Synthèse PER'!F13="Industrie"),'Synthèse PER'!J13,0)</f>
        <v>0</v>
      </c>
      <c r="AJ13" s="290">
        <f>IF(('Synthèse PER'!P13="A faire")*AND('Synthèse PER'!F13="Citoyen"),'Synthèse PER'!J13,0)</f>
        <v>0</v>
      </c>
      <c r="AK13" s="290">
        <f>IF(('Synthèse PER'!P13="A faire")*AND('Synthèse PER'!F13="IDELUX"),'Synthèse PER'!J13,0)</f>
        <v>0</v>
      </c>
      <c r="AL13" s="290">
        <f>IF(('Synthèse PER'!P13="A faire")*AND('Synthèse PER'!F13="AC MESSANCY"),'Synthèse PER'!J13,0)</f>
        <v>0</v>
      </c>
      <c r="AM13" s="290">
        <f>IF(('Synthèse PER'!P13="A faire")*AND('Synthèse PER'!F13="Tertiaire"),'Synthèse PER'!J13,0)</f>
        <v>0</v>
      </c>
      <c r="AN13" s="288"/>
      <c r="AO13" s="290">
        <f>IF(('Synthèse PER'!P13="A faire")*AND('Synthèse PER'!E13="Territoire"),'Synthèse PER'!H13,0)</f>
        <v>0</v>
      </c>
      <c r="AP13" s="290">
        <f>IF(('Synthèse PER'!P13="A faire")*AND('Synthèse PER'!E13="Agriculture"),'Synthèse PER'!H13,0)</f>
        <v>0</v>
      </c>
      <c r="AQ13" s="290">
        <f>IF(('Synthèse PER'!P13="A faire")*AND('Synthèse PER'!E13="Industrie"),'Synthèse PER'!H13,0)</f>
        <v>0</v>
      </c>
      <c r="AR13" s="290">
        <f>IF(('Synthèse PER'!P13="A faire")*AND('Synthèse PER'!E13="Logement"),'Synthèse PER'!H13,0)</f>
        <v>0</v>
      </c>
      <c r="AS13" s="290">
        <f>IF(('Synthèse PER'!P13="A faire")*AND('Synthèse PER'!E13="Tertiaire"),'Synthèse PER'!H13,0)</f>
        <v>0</v>
      </c>
      <c r="AT13" s="290">
        <f>IF(('Synthèse PER'!P13="A faire")*AND('Synthèse PER'!E13="Transport"),'Synthèse PER'!H13,0)</f>
        <v>0</v>
      </c>
      <c r="AU13" s="290">
        <f>IF(('Synthèse PER'!P13="A faire")*AND('Synthèse PER'!E13="Communal"),'Synthèse PER'!H13,0)</f>
        <v>0</v>
      </c>
      <c r="AV13" s="288"/>
      <c r="AW13" s="290">
        <f>IF(('Synthèse PER'!P13="A faire")*AND('Synthèse PER'!E13="Territoire"),'Synthèse PER'!J13,0)</f>
        <v>0</v>
      </c>
      <c r="AX13" s="290">
        <f>IF(('Synthèse PER'!P13="A faire")*AND('Synthèse PER'!E13="Agriculture"),'Synthèse PER'!J13,0)</f>
        <v>0</v>
      </c>
      <c r="AY13" s="290">
        <f>IF(('Synthèse PER'!P13="A faire")*AND('Synthèse PER'!E13="Industrie"),'Synthèse PER'!J13,0)</f>
        <v>0</v>
      </c>
      <c r="AZ13" s="290">
        <f>IF(('Synthèse PER'!P13="A faire")*AND('Synthèse PER'!E13="Logement"),'Synthèse PER'!J13,0)</f>
        <v>0</v>
      </c>
      <c r="BA13" s="290">
        <f>IF(('Synthèse PER'!P13="A faire")*AND('Synthèse PER'!E13="Tertiaire"),'Synthèse PER'!J13,0)</f>
        <v>0</v>
      </c>
      <c r="BB13" s="290">
        <f>IF(('Synthèse PER'!P13="A faire")*AND('Synthèse PER'!E13="Transport"),'Synthèse PER'!J13,0)</f>
        <v>0</v>
      </c>
      <c r="BC13" s="290">
        <f>IF(('Synthèse PER'!P13="A faire")*AND('Synthèse PER'!E13="Communal"),'Synthèse PER'!J13,0)</f>
        <v>0</v>
      </c>
      <c r="BD13" s="288"/>
      <c r="BE13" s="290">
        <f>IF(('Synthèse PER'!P13="A faire")*AND('Synthèse PER'!E13="Territoire"),'Synthèse PER'!K13,0)</f>
        <v>0</v>
      </c>
      <c r="BF13" s="290">
        <f>IF(('Synthèse PER'!P13="A faire")*AND('Synthèse PER'!E13="Agriculture"),'Synthèse PER'!K13,0)</f>
        <v>0</v>
      </c>
      <c r="BG13" s="290">
        <f>IF(('Synthèse PER'!P13="A faire")*AND('Synthèse PER'!E13="Industrie"),'Synthèse PER'!K13,0)</f>
        <v>0</v>
      </c>
      <c r="BH13" s="290">
        <f>IF(('Synthèse PER'!P13="A faire")*AND('Synthèse PER'!E13="Logement"),'Synthèse PER'!K13,0)</f>
        <v>0</v>
      </c>
      <c r="BI13" s="290">
        <f>IF(('Synthèse PER'!P13="A faire")*AND('Synthèse PER'!E13="Tertiaire"),'Synthèse PER'!K13,0)</f>
        <v>0</v>
      </c>
      <c r="BJ13" s="290">
        <f>IF(('Synthèse PER'!P13="A faire")*AND('Synthèse PER'!E13="Transport"),'Synthèse PER'!K13,0)</f>
        <v>0</v>
      </c>
      <c r="BK13" s="290">
        <f>IF(('Synthèse PER'!P13="A faire")*AND('Synthèse PER'!E13="Communal"),'Synthèse PER'!K13,0)</f>
        <v>0</v>
      </c>
      <c r="BL13" s="288"/>
      <c r="BM13" s="290">
        <f>IF(('Synthèse PER'!P13="A faire")*AND('Synthèse PER'!E13="Territoire"),'Synthèse PER'!L13,0)</f>
        <v>0</v>
      </c>
      <c r="BN13" s="290">
        <f>IF(('Synthèse PER'!P13="A faire")*AND('Synthèse PER'!E13="Agriculture"),'Synthèse PER'!L13,0)</f>
        <v>0</v>
      </c>
      <c r="BO13" s="290">
        <f>IF(('Synthèse PER'!P13="A faire")*AND('Synthèse PER'!E13="Industrie"),'Synthèse PER'!L13,0)</f>
        <v>0</v>
      </c>
      <c r="BP13" s="290">
        <f>IF(('Synthèse PER'!P13="A faire")*AND('Synthèse PER'!E13="Logement"),'Synthèse PER'!L13,0)</f>
        <v>0</v>
      </c>
      <c r="BQ13" s="290">
        <f>IF(('Synthèse PER'!P13="A faire")*AND('Synthèse PER'!E13="Tertiaire"),'Synthèse PER'!L13,0)</f>
        <v>0</v>
      </c>
      <c r="BR13" s="290">
        <f>IF(('Synthèse PER'!P13="A faire")*AND('Synthèse PER'!E13="Transport"),'Synthèse PER'!L13,0)</f>
        <v>0</v>
      </c>
      <c r="BS13" s="290">
        <f>IF(('Synthèse PER'!P13="A faire")*AND('Synthèse PER'!E13="Communal"),'Synthèse PER'!L13,0)</f>
        <v>0</v>
      </c>
      <c r="BT13" s="290">
        <f>IF(('Synthèse PER'!Q13="A faire")*AND('Synthèse PER'!F13="Communal"),'Synthèse PER'!M13,0)</f>
        <v>0</v>
      </c>
    </row>
    <row r="14" spans="1:72" s="139" customFormat="1" x14ac:dyDescent="0.25">
      <c r="A14" s="370" t="s">
        <v>771</v>
      </c>
      <c r="B14" s="414" t="str">
        <f>'ADO-21'!B$3:E$3</f>
        <v>Mobilisation</v>
      </c>
      <c r="C14" s="419" t="str">
        <f>'ADO-21'!$B$8</f>
        <v>PAED</v>
      </c>
      <c r="D14" s="133" t="str">
        <f>'ADO-21'!$B$9</f>
        <v>Comité de pilotage</v>
      </c>
      <c r="E14" s="133" t="str">
        <f>'ADO-21'!$B$4</f>
        <v>Territoire</v>
      </c>
      <c r="F14" s="133" t="str">
        <f>'ADO-21'!$B$12</f>
        <v>AC MESSANCY</v>
      </c>
      <c r="G14" s="133" t="str">
        <f>'ADO-21'!$B$6</f>
        <v>Néant</v>
      </c>
      <c r="H14" s="134">
        <f>'ADO-21'!$B$17</f>
        <v>0</v>
      </c>
      <c r="I14" s="133" t="str">
        <f>'ADO-21'!$B$7</f>
        <v>Néant</v>
      </c>
      <c r="J14" s="134">
        <f>'ADO-21'!$B$18</f>
        <v>0</v>
      </c>
      <c r="K14" s="134">
        <f>'ADO-21'!$B$21</f>
        <v>1</v>
      </c>
      <c r="L14" s="134">
        <f>'ADO-21'!$B$22</f>
        <v>0</v>
      </c>
      <c r="M14" s="135">
        <f>'ADO-21'!$B$24</f>
        <v>0</v>
      </c>
      <c r="N14" s="135">
        <f>'ADO-21'!$B$19/1000</f>
        <v>0</v>
      </c>
      <c r="O14" s="136">
        <f>IF(H14=0,0,N14/(H14-J14)*1000)</f>
        <v>0</v>
      </c>
      <c r="P14" s="137" t="str">
        <f>'ADO-21'!$B$5</f>
        <v>Terminé</v>
      </c>
      <c r="Q14" s="140">
        <f>'ADO-21'!$B$16</f>
        <v>2020</v>
      </c>
      <c r="R14" s="283">
        <f>IF(P14="terminé", N14,"")</f>
        <v>0</v>
      </c>
      <c r="S14" s="138">
        <f t="shared" si="9"/>
        <v>0</v>
      </c>
      <c r="T14" s="138">
        <f t="shared" si="10"/>
        <v>0</v>
      </c>
      <c r="U14" s="138">
        <f t="shared" si="11"/>
        <v>0</v>
      </c>
      <c r="V14" s="138">
        <f t="shared" si="12"/>
        <v>0</v>
      </c>
      <c r="W14" s="138">
        <f t="shared" si="13"/>
        <v>0</v>
      </c>
      <c r="X14" s="138">
        <f t="shared" si="14"/>
        <v>0</v>
      </c>
      <c r="Y14" s="138">
        <f t="shared" si="15"/>
        <v>0</v>
      </c>
      <c r="AA14" s="287">
        <f>IF(('Synthèse PER'!P14="A faire")*AND('Synthèse PER'!F14="Agriculture"),'Synthèse PER'!H14,0)</f>
        <v>0</v>
      </c>
      <c r="AB14" s="287">
        <f>IF(('Synthèse PER'!P14="A faire")*AND('Synthèse PER'!F14="Industrie"),'Synthèse PER'!H14,0)</f>
        <v>0</v>
      </c>
      <c r="AC14" s="287">
        <f>IF(('Synthèse PER'!P14="A faire")*AND('Synthèse PER'!F14="Citoyen"),'Synthèse PER'!H14,0)</f>
        <v>0</v>
      </c>
      <c r="AD14" s="287">
        <f>IF(('Synthèse PER'!P14="A faire")*AND('Synthèse PER'!F14="IDELUX"),'Synthèse PER'!H14,0)</f>
        <v>0</v>
      </c>
      <c r="AE14" s="290">
        <f>IF(('Synthèse PER'!P14="A faire")*AND('Synthèse PER'!F14="AC MESSANCY"),'Synthèse PER'!H14,0)</f>
        <v>0</v>
      </c>
      <c r="AF14" s="287">
        <f>IF(('Synthèse PER'!P14="A faire")*AND('Synthèse PER'!F14="Tertiaire"),'Synthèse PER'!H14,0)</f>
        <v>0</v>
      </c>
      <c r="AG14" s="288"/>
      <c r="AH14" s="290">
        <f>IF(('Synthèse PER'!P14="A faire")*AND('Synthèse PER'!F14="Agriculture"),'Synthèse PER'!J14,0)</f>
        <v>0</v>
      </c>
      <c r="AI14" s="290">
        <f>IF(('Synthèse PER'!P14="A faire")*AND('Synthèse PER'!F14="Industrie"),'Synthèse PER'!J14,0)</f>
        <v>0</v>
      </c>
      <c r="AJ14" s="290">
        <f>IF(('Synthèse PER'!P14="A faire")*AND('Synthèse PER'!F14="Citoyen"),'Synthèse PER'!J14,0)</f>
        <v>0</v>
      </c>
      <c r="AK14" s="290">
        <f>IF(('Synthèse PER'!P14="A faire")*AND('Synthèse PER'!F14="IDELUX"),'Synthèse PER'!J14,0)</f>
        <v>0</v>
      </c>
      <c r="AL14" s="290">
        <f>IF(('Synthèse PER'!P14="A faire")*AND('Synthèse PER'!F14="AC MESSANCY"),'Synthèse PER'!J14,0)</f>
        <v>0</v>
      </c>
      <c r="AM14" s="290">
        <f>IF(('Synthèse PER'!P14="A faire")*AND('Synthèse PER'!F14="Tertiaire"),'Synthèse PER'!J14,0)</f>
        <v>0</v>
      </c>
      <c r="AN14" s="288"/>
      <c r="AO14" s="290">
        <f>IF(('Synthèse PER'!P14="A faire")*AND('Synthèse PER'!E14="Territoire"),'Synthèse PER'!H14,0)</f>
        <v>0</v>
      </c>
      <c r="AP14" s="290">
        <f>IF(('Synthèse PER'!P14="A faire")*AND('Synthèse PER'!E14="Agriculture"),'Synthèse PER'!H14,0)</f>
        <v>0</v>
      </c>
      <c r="AQ14" s="290">
        <f>IF(('Synthèse PER'!P14="A faire")*AND('Synthèse PER'!E14="Industrie"),'Synthèse PER'!H14,0)</f>
        <v>0</v>
      </c>
      <c r="AR14" s="290">
        <f>IF(('Synthèse PER'!P14="A faire")*AND('Synthèse PER'!E14="Logement"),'Synthèse PER'!H14,0)</f>
        <v>0</v>
      </c>
      <c r="AS14" s="290">
        <f>IF(('Synthèse PER'!P14="A faire")*AND('Synthèse PER'!E14="Tertiaire"),'Synthèse PER'!H14,0)</f>
        <v>0</v>
      </c>
      <c r="AT14" s="290">
        <f>IF(('Synthèse PER'!P14="A faire")*AND('Synthèse PER'!E14="Transport"),'Synthèse PER'!H14,0)</f>
        <v>0</v>
      </c>
      <c r="AU14" s="290">
        <f>IF(('Synthèse PER'!P14="A faire")*AND('Synthèse PER'!E14="Communal"),'Synthèse PER'!H14,0)</f>
        <v>0</v>
      </c>
      <c r="AV14" s="288"/>
      <c r="AW14" s="290">
        <f>IF(('Synthèse PER'!P14="A faire")*AND('Synthèse PER'!E14="Territoire"),'Synthèse PER'!J14,0)</f>
        <v>0</v>
      </c>
      <c r="AX14" s="290">
        <f>IF(('Synthèse PER'!P14="A faire")*AND('Synthèse PER'!E14="Agriculture"),'Synthèse PER'!J14,0)</f>
        <v>0</v>
      </c>
      <c r="AY14" s="290">
        <f>IF(('Synthèse PER'!P14="A faire")*AND('Synthèse PER'!E14="Industrie"),'Synthèse PER'!J14,0)</f>
        <v>0</v>
      </c>
      <c r="AZ14" s="290">
        <f>IF(('Synthèse PER'!P14="A faire")*AND('Synthèse PER'!E14="Logement"),'Synthèse PER'!J14,0)</f>
        <v>0</v>
      </c>
      <c r="BA14" s="290">
        <f>IF(('Synthèse PER'!P14="A faire")*AND('Synthèse PER'!E14="Tertiaire"),'Synthèse PER'!J14,0)</f>
        <v>0</v>
      </c>
      <c r="BB14" s="290">
        <f>IF(('Synthèse PER'!P14="A faire")*AND('Synthèse PER'!E14="Transport"),'Synthèse PER'!J14,0)</f>
        <v>0</v>
      </c>
      <c r="BC14" s="290">
        <f>IF(('Synthèse PER'!P14="A faire")*AND('Synthèse PER'!E14="Communal"),'Synthèse PER'!J14,0)</f>
        <v>0</v>
      </c>
      <c r="BD14" s="288"/>
      <c r="BE14" s="290">
        <f>IF(('Synthèse PER'!P14="A faire")*AND('Synthèse PER'!E14="Territoire"),'Synthèse PER'!K14,0)</f>
        <v>0</v>
      </c>
      <c r="BF14" s="290">
        <f>IF(('Synthèse PER'!P14="A faire")*AND('Synthèse PER'!E14="Agriculture"),'Synthèse PER'!K14,0)</f>
        <v>0</v>
      </c>
      <c r="BG14" s="290">
        <f>IF(('Synthèse PER'!P14="A faire")*AND('Synthèse PER'!E14="Industrie"),'Synthèse PER'!K14,0)</f>
        <v>0</v>
      </c>
      <c r="BH14" s="290">
        <f>IF(('Synthèse PER'!P14="A faire")*AND('Synthèse PER'!E14="Logement"),'Synthèse PER'!K14,0)</f>
        <v>0</v>
      </c>
      <c r="BI14" s="290">
        <f>IF(('Synthèse PER'!P14="A faire")*AND('Synthèse PER'!E14="Tertiaire"),'Synthèse PER'!K14,0)</f>
        <v>0</v>
      </c>
      <c r="BJ14" s="290">
        <f>IF(('Synthèse PER'!P14="A faire")*AND('Synthèse PER'!E14="Transport"),'Synthèse PER'!K14,0)</f>
        <v>0</v>
      </c>
      <c r="BK14" s="290">
        <f>IF(('Synthèse PER'!P14="A faire")*AND('Synthèse PER'!E14="Communal"),'Synthèse PER'!K14,0)</f>
        <v>0</v>
      </c>
      <c r="BL14" s="288"/>
      <c r="BM14" s="290">
        <f>IF(('Synthèse PER'!P14="A faire")*AND('Synthèse PER'!E14="Territoire"),'Synthèse PER'!L14,0)</f>
        <v>0</v>
      </c>
      <c r="BN14" s="290">
        <f>IF(('Synthèse PER'!P14="A faire")*AND('Synthèse PER'!E14="Agriculture"),'Synthèse PER'!L14,0)</f>
        <v>0</v>
      </c>
      <c r="BO14" s="290">
        <f>IF(('Synthèse PER'!P14="A faire")*AND('Synthèse PER'!E14="Industrie"),'Synthèse PER'!L14,0)</f>
        <v>0</v>
      </c>
      <c r="BP14" s="290">
        <f>IF(('Synthèse PER'!P14="A faire")*AND('Synthèse PER'!E14="Logement"),'Synthèse PER'!L14,0)</f>
        <v>0</v>
      </c>
      <c r="BQ14" s="290">
        <f>IF(('Synthèse PER'!P14="A faire")*AND('Synthèse PER'!E14="Tertiaire"),'Synthèse PER'!L14,0)</f>
        <v>0</v>
      </c>
      <c r="BR14" s="290">
        <f>IF(('Synthèse PER'!P14="A faire")*AND('Synthèse PER'!E14="Transport"),'Synthèse PER'!L14,0)</f>
        <v>0</v>
      </c>
      <c r="BS14" s="290">
        <f>IF(('Synthèse PER'!P14="A faire")*AND('Synthèse PER'!E14="Communal"),'Synthèse PER'!L14,0)</f>
        <v>0</v>
      </c>
      <c r="BT14" s="290">
        <f>IF(('Synthèse PER'!Q14="A faire")*AND('Synthèse PER'!F14="Communal"),'Synthèse PER'!M14,0)</f>
        <v>0</v>
      </c>
    </row>
    <row r="15" spans="1:72" s="139" customFormat="1" x14ac:dyDescent="0.25">
      <c r="A15" s="370" t="s">
        <v>772</v>
      </c>
      <c r="B15" s="414" t="str">
        <f>'ADO-22'!B$3:E$3</f>
        <v>Mobilisation</v>
      </c>
      <c r="C15" s="419" t="str">
        <f>'ADO-22'!$B$8</f>
        <v>URE</v>
      </c>
      <c r="D15" s="133" t="str">
        <f>'ADO-22'!$B$9</f>
        <v>Sensibilisation URE - chaleur</v>
      </c>
      <c r="E15" s="133" t="str">
        <f>'ADO-22'!$B$4</f>
        <v>Logement</v>
      </c>
      <c r="F15" s="133" t="str">
        <f>'ADO-22'!$B$12</f>
        <v>Citoyen</v>
      </c>
      <c r="G15" s="133" t="str">
        <f>'ADO-22'!$B$6</f>
        <v>Néant</v>
      </c>
      <c r="H15" s="134">
        <f>'ADO-22'!$B$17</f>
        <v>0</v>
      </c>
      <c r="I15" s="133" t="str">
        <f>'ADO-22'!$B$7</f>
        <v>Néant</v>
      </c>
      <c r="J15" s="134">
        <f>'ADO-22'!$B$18</f>
        <v>0</v>
      </c>
      <c r="K15" s="134">
        <f>'ADO-22'!$B$21</f>
        <v>41173.582259478149</v>
      </c>
      <c r="L15" s="134">
        <f>'ADO-22'!$B$22</f>
        <v>0</v>
      </c>
      <c r="M15" s="135">
        <f>'ADO-22'!$B$24</f>
        <v>0</v>
      </c>
      <c r="N15" s="135">
        <f>'ADO-22'!$B$19/1000</f>
        <v>588.19403227825933</v>
      </c>
      <c r="O15" s="136">
        <f t="shared" ref="O15:O32" si="25">IF(H15=0,0,N15/(H15-J15)*1000)</f>
        <v>0</v>
      </c>
      <c r="P15" s="137" t="str">
        <f>'ADO-22'!$B$5</f>
        <v>A faire</v>
      </c>
      <c r="Q15" s="140">
        <f>'ADO-22'!$B$16</f>
        <v>2030</v>
      </c>
      <c r="R15" s="283" t="str">
        <f t="shared" ref="R15:R33" si="26">IF(P15="terminé", N15,"")</f>
        <v/>
      </c>
      <c r="S15" s="138">
        <f t="shared" si="9"/>
        <v>0</v>
      </c>
      <c r="T15" s="138">
        <f t="shared" si="10"/>
        <v>0</v>
      </c>
      <c r="U15" s="138">
        <f t="shared" si="11"/>
        <v>0</v>
      </c>
      <c r="V15" s="138">
        <f t="shared" si="12"/>
        <v>0</v>
      </c>
      <c r="W15" s="138">
        <f t="shared" si="13"/>
        <v>0</v>
      </c>
      <c r="X15" s="138">
        <f t="shared" si="14"/>
        <v>0</v>
      </c>
      <c r="Y15" s="138">
        <f t="shared" si="15"/>
        <v>0</v>
      </c>
      <c r="AA15" s="287">
        <f>IF(('Synthèse PER'!P15="A faire")*AND('Synthèse PER'!F15="Agriculture"),'Synthèse PER'!H15,0)</f>
        <v>0</v>
      </c>
      <c r="AB15" s="287">
        <f>IF(('Synthèse PER'!P15="A faire")*AND('Synthèse PER'!F15="Industrie"),'Synthèse PER'!H15,0)</f>
        <v>0</v>
      </c>
      <c r="AC15" s="287">
        <f>IF(('Synthèse PER'!P15="A faire")*AND('Synthèse PER'!F15="Citoyen"),'Synthèse PER'!H15,0)</f>
        <v>0</v>
      </c>
      <c r="AD15" s="287">
        <f>IF(('Synthèse PER'!P15="A faire")*AND('Synthèse PER'!F15="IDELUX"),'Synthèse PER'!H15,0)</f>
        <v>0</v>
      </c>
      <c r="AE15" s="290">
        <f>IF(('Synthèse PER'!P15="A faire")*AND('Synthèse PER'!F15="AC MESSANCY"),'Synthèse PER'!H15,0)</f>
        <v>0</v>
      </c>
      <c r="AF15" s="287">
        <f>IF(('Synthèse PER'!P15="A faire")*AND('Synthèse PER'!F15="Tertiaire"),'Synthèse PER'!H15,0)</f>
        <v>0</v>
      </c>
      <c r="AG15" s="288"/>
      <c r="AH15" s="290">
        <f>IF(('Synthèse PER'!P15="A faire")*AND('Synthèse PER'!F15="Agriculture"),'Synthèse PER'!J15,0)</f>
        <v>0</v>
      </c>
      <c r="AI15" s="290">
        <f>IF(('Synthèse PER'!P15="A faire")*AND('Synthèse PER'!F15="Industrie"),'Synthèse PER'!J15,0)</f>
        <v>0</v>
      </c>
      <c r="AJ15" s="290">
        <f>IF(('Synthèse PER'!P15="A faire")*AND('Synthèse PER'!F15="Citoyen"),'Synthèse PER'!J15,0)</f>
        <v>0</v>
      </c>
      <c r="AK15" s="290">
        <f>IF(('Synthèse PER'!P15="A faire")*AND('Synthèse PER'!F15="IDELUX"),'Synthèse PER'!J15,0)</f>
        <v>0</v>
      </c>
      <c r="AL15" s="290">
        <f>IF(('Synthèse PER'!P15="A faire")*AND('Synthèse PER'!F15="AC MESSANCY"),'Synthèse PER'!J15,0)</f>
        <v>0</v>
      </c>
      <c r="AM15" s="290">
        <f>IF(('Synthèse PER'!P15="A faire")*AND('Synthèse PER'!F15="Tertiaire"),'Synthèse PER'!J15,0)</f>
        <v>0</v>
      </c>
      <c r="AN15" s="288"/>
      <c r="AO15" s="290">
        <f>IF(('Synthèse PER'!P15="A faire")*AND('Synthèse PER'!E15="Territoire"),'Synthèse PER'!H15,0)</f>
        <v>0</v>
      </c>
      <c r="AP15" s="290">
        <f>IF(('Synthèse PER'!P15="A faire")*AND('Synthèse PER'!E15="Agriculture"),'Synthèse PER'!H15,0)</f>
        <v>0</v>
      </c>
      <c r="AQ15" s="290">
        <f>IF(('Synthèse PER'!P15="A faire")*AND('Synthèse PER'!E15="Industrie"),'Synthèse PER'!H15,0)</f>
        <v>0</v>
      </c>
      <c r="AR15" s="290">
        <f>IF(('Synthèse PER'!P15="A faire")*AND('Synthèse PER'!E15="Logement"),'Synthèse PER'!H15,0)</f>
        <v>0</v>
      </c>
      <c r="AS15" s="290">
        <f>IF(('Synthèse PER'!P15="A faire")*AND('Synthèse PER'!E15="Tertiaire"),'Synthèse PER'!H15,0)</f>
        <v>0</v>
      </c>
      <c r="AT15" s="290">
        <f>IF(('Synthèse PER'!P15="A faire")*AND('Synthèse PER'!E15="Transport"),'Synthèse PER'!H15,0)</f>
        <v>0</v>
      </c>
      <c r="AU15" s="290">
        <f>IF(('Synthèse PER'!P15="A faire")*AND('Synthèse PER'!E15="Communal"),'Synthèse PER'!H15,0)</f>
        <v>0</v>
      </c>
      <c r="AV15" s="288"/>
      <c r="AW15" s="290">
        <f>IF(('Synthèse PER'!P15="A faire")*AND('Synthèse PER'!E15="Territoire"),'Synthèse PER'!J15,0)</f>
        <v>0</v>
      </c>
      <c r="AX15" s="290">
        <f>IF(('Synthèse PER'!P15="A faire")*AND('Synthèse PER'!E15="Agriculture"),'Synthèse PER'!J15,0)</f>
        <v>0</v>
      </c>
      <c r="AY15" s="290">
        <f>IF(('Synthèse PER'!P15="A faire")*AND('Synthèse PER'!E15="Industrie"),'Synthèse PER'!J15,0)</f>
        <v>0</v>
      </c>
      <c r="AZ15" s="290">
        <f>IF(('Synthèse PER'!P15="A faire")*AND('Synthèse PER'!E15="Logement"),'Synthèse PER'!J15,0)</f>
        <v>0</v>
      </c>
      <c r="BA15" s="290">
        <f>IF(('Synthèse PER'!P15="A faire")*AND('Synthèse PER'!E15="Tertiaire"),'Synthèse PER'!J15,0)</f>
        <v>0</v>
      </c>
      <c r="BB15" s="290">
        <f>IF(('Synthèse PER'!P15="A faire")*AND('Synthèse PER'!E15="Transport"),'Synthèse PER'!J15,0)</f>
        <v>0</v>
      </c>
      <c r="BC15" s="290">
        <f>IF(('Synthèse PER'!P15="A faire")*AND('Synthèse PER'!E15="Communal"),'Synthèse PER'!J15,0)</f>
        <v>0</v>
      </c>
      <c r="BD15" s="288"/>
      <c r="BE15" s="290">
        <f>IF(('Synthèse PER'!P15="A faire")*AND('Synthèse PER'!E15="Territoire"),'Synthèse PER'!K15,0)</f>
        <v>0</v>
      </c>
      <c r="BF15" s="290">
        <f>IF(('Synthèse PER'!P15="A faire")*AND('Synthèse PER'!E15="Agriculture"),'Synthèse PER'!K15,0)</f>
        <v>0</v>
      </c>
      <c r="BG15" s="290">
        <f>IF(('Synthèse PER'!P15="A faire")*AND('Synthèse PER'!E15="Industrie"),'Synthèse PER'!K15,0)</f>
        <v>0</v>
      </c>
      <c r="BH15" s="290">
        <f>IF(('Synthèse PER'!P15="A faire")*AND('Synthèse PER'!E15="Logement"),'Synthèse PER'!K15,0)</f>
        <v>41173.582259478149</v>
      </c>
      <c r="BI15" s="290">
        <f>IF(('Synthèse PER'!P15="A faire")*AND('Synthèse PER'!E15="Tertiaire"),'Synthèse PER'!K15,0)</f>
        <v>0</v>
      </c>
      <c r="BJ15" s="290">
        <f>IF(('Synthèse PER'!P15="A faire")*AND('Synthèse PER'!E15="Transport"),'Synthèse PER'!K15,0)</f>
        <v>0</v>
      </c>
      <c r="BK15" s="290">
        <f>IF(('Synthèse PER'!P15="A faire")*AND('Synthèse PER'!E15="Communal"),'Synthèse PER'!K15,0)</f>
        <v>0</v>
      </c>
      <c r="BL15" s="288"/>
      <c r="BM15" s="290">
        <f>IF(('Synthèse PER'!P15="A faire")*AND('Synthèse PER'!E15="Territoire"),'Synthèse PER'!L15,0)</f>
        <v>0</v>
      </c>
      <c r="BN15" s="290">
        <f>IF(('Synthèse PER'!P15="A faire")*AND('Synthèse PER'!E15="Agriculture"),'Synthèse PER'!L15,0)</f>
        <v>0</v>
      </c>
      <c r="BO15" s="290">
        <f>IF(('Synthèse PER'!P15="A faire")*AND('Synthèse PER'!E15="Industrie"),'Synthèse PER'!L15,0)</f>
        <v>0</v>
      </c>
      <c r="BP15" s="290">
        <f>IF(('Synthèse PER'!P15="A faire")*AND('Synthèse PER'!E15="Logement"),'Synthèse PER'!L15,0)</f>
        <v>0</v>
      </c>
      <c r="BQ15" s="290">
        <f>IF(('Synthèse PER'!P15="A faire")*AND('Synthèse PER'!E15="Tertiaire"),'Synthèse PER'!L15,0)</f>
        <v>0</v>
      </c>
      <c r="BR15" s="290">
        <f>IF(('Synthèse PER'!P15="A faire")*AND('Synthèse PER'!E15="Transport"),'Synthèse PER'!L15,0)</f>
        <v>0</v>
      </c>
      <c r="BS15" s="290">
        <f>IF(('Synthèse PER'!P15="A faire")*AND('Synthèse PER'!E15="Communal"),'Synthèse PER'!L15,0)</f>
        <v>0</v>
      </c>
      <c r="BT15" s="290">
        <f>IF(('Synthèse PER'!Q15="A faire")*AND('Synthèse PER'!F15="Communal"),'Synthèse PER'!M15,0)</f>
        <v>0</v>
      </c>
    </row>
    <row r="16" spans="1:72" s="139" customFormat="1" x14ac:dyDescent="0.25">
      <c r="A16" s="370" t="s">
        <v>773</v>
      </c>
      <c r="B16" s="414" t="str">
        <f>'ADO-23'!B$3:E$3</f>
        <v>Mobilisation</v>
      </c>
      <c r="C16" s="419" t="str">
        <f>'ADO-23'!$B$8</f>
        <v>URE</v>
      </c>
      <c r="D16" s="133" t="str">
        <f>'ADO-23'!$B$9</f>
        <v>Sensibilisation URE - électricité</v>
      </c>
      <c r="E16" s="133" t="str">
        <f>'ADO-23'!$B$4</f>
        <v>Logement</v>
      </c>
      <c r="F16" s="133" t="str">
        <f>'ADO-23'!$B$12</f>
        <v>Citoyen</v>
      </c>
      <c r="G16" s="133" t="str">
        <f>'ADO-23'!$B$6</f>
        <v>Néant</v>
      </c>
      <c r="H16" s="134">
        <f>'ADO-23'!$B$17</f>
        <v>0</v>
      </c>
      <c r="I16" s="133" t="str">
        <f>'ADO-23'!$B$7</f>
        <v>Néant</v>
      </c>
      <c r="J16" s="134">
        <f>'ADO-23'!$B$18</f>
        <v>0</v>
      </c>
      <c r="K16" s="134">
        <f>'ADO-23'!$B$21</f>
        <v>46007.485345811321</v>
      </c>
      <c r="L16" s="134">
        <f>'ADO-23'!$B$22</f>
        <v>0</v>
      </c>
      <c r="M16" s="135">
        <f>'ADO-23'!$B$24</f>
        <v>0</v>
      </c>
      <c r="N16" s="135">
        <f>'ADO-23'!$B$19/1000</f>
        <v>191.69785560754718</v>
      </c>
      <c r="O16" s="136">
        <f t="shared" si="25"/>
        <v>0</v>
      </c>
      <c r="P16" s="137" t="str">
        <f>'ADO-23'!$B$5</f>
        <v>A faire</v>
      </c>
      <c r="Q16" s="140">
        <f>'ADO-23'!$B$16</f>
        <v>2030</v>
      </c>
      <c r="R16" s="283" t="str">
        <f t="shared" si="26"/>
        <v/>
      </c>
      <c r="S16" s="138">
        <f t="shared" si="9"/>
        <v>0</v>
      </c>
      <c r="T16" s="138">
        <f t="shared" si="10"/>
        <v>0</v>
      </c>
      <c r="U16" s="138">
        <f t="shared" si="11"/>
        <v>0</v>
      </c>
      <c r="V16" s="138">
        <f t="shared" si="12"/>
        <v>0</v>
      </c>
      <c r="W16" s="138">
        <f t="shared" si="13"/>
        <v>0</v>
      </c>
      <c r="X16" s="138">
        <f t="shared" si="14"/>
        <v>0</v>
      </c>
      <c r="Y16" s="138">
        <f t="shared" si="15"/>
        <v>0</v>
      </c>
      <c r="AA16" s="287">
        <f>IF(('Synthèse PER'!P16="A faire")*AND('Synthèse PER'!F16="Agriculture"),'Synthèse PER'!H16,0)</f>
        <v>0</v>
      </c>
      <c r="AB16" s="287">
        <f>IF(('Synthèse PER'!P16="A faire")*AND('Synthèse PER'!F16="Industrie"),'Synthèse PER'!H16,0)</f>
        <v>0</v>
      </c>
      <c r="AC16" s="287">
        <f>IF(('Synthèse PER'!P16="A faire")*AND('Synthèse PER'!F16="Citoyen"),'Synthèse PER'!H16,0)</f>
        <v>0</v>
      </c>
      <c r="AD16" s="287">
        <f>IF(('Synthèse PER'!P16="A faire")*AND('Synthèse PER'!F16="IDELUX"),'Synthèse PER'!H16,0)</f>
        <v>0</v>
      </c>
      <c r="AE16" s="290">
        <f>IF(('Synthèse PER'!P16="A faire")*AND('Synthèse PER'!F16="AC MESSANCY"),'Synthèse PER'!H16,0)</f>
        <v>0</v>
      </c>
      <c r="AF16" s="287">
        <f>IF(('Synthèse PER'!P16="A faire")*AND('Synthèse PER'!F16="Tertiaire"),'Synthèse PER'!H16,0)</f>
        <v>0</v>
      </c>
      <c r="AG16" s="288"/>
      <c r="AH16" s="290">
        <f>IF(('Synthèse PER'!P16="A faire")*AND('Synthèse PER'!F16="Agriculture"),'Synthèse PER'!J16,0)</f>
        <v>0</v>
      </c>
      <c r="AI16" s="290">
        <f>IF(('Synthèse PER'!P16="A faire")*AND('Synthèse PER'!F16="Industrie"),'Synthèse PER'!J16,0)</f>
        <v>0</v>
      </c>
      <c r="AJ16" s="290">
        <f>IF(('Synthèse PER'!P16="A faire")*AND('Synthèse PER'!F16="Citoyen"),'Synthèse PER'!J16,0)</f>
        <v>0</v>
      </c>
      <c r="AK16" s="290">
        <f>IF(('Synthèse PER'!P16="A faire")*AND('Synthèse PER'!F16="IDELUX"),'Synthèse PER'!J16,0)</f>
        <v>0</v>
      </c>
      <c r="AL16" s="290">
        <f>IF(('Synthèse PER'!P16="A faire")*AND('Synthèse PER'!F16="AC MESSANCY"),'Synthèse PER'!J16,0)</f>
        <v>0</v>
      </c>
      <c r="AM16" s="290">
        <f>IF(('Synthèse PER'!P16="A faire")*AND('Synthèse PER'!F16="Tertiaire"),'Synthèse PER'!J16,0)</f>
        <v>0</v>
      </c>
      <c r="AN16" s="288"/>
      <c r="AO16" s="290">
        <f>IF(('Synthèse PER'!P16="A faire")*AND('Synthèse PER'!E16="Territoire"),'Synthèse PER'!H16,0)</f>
        <v>0</v>
      </c>
      <c r="AP16" s="290">
        <f>IF(('Synthèse PER'!P16="A faire")*AND('Synthèse PER'!E16="Agriculture"),'Synthèse PER'!H16,0)</f>
        <v>0</v>
      </c>
      <c r="AQ16" s="290">
        <f>IF(('Synthèse PER'!P16="A faire")*AND('Synthèse PER'!E16="Industrie"),'Synthèse PER'!H16,0)</f>
        <v>0</v>
      </c>
      <c r="AR16" s="290">
        <f>IF(('Synthèse PER'!P16="A faire")*AND('Synthèse PER'!E16="Logement"),'Synthèse PER'!H16,0)</f>
        <v>0</v>
      </c>
      <c r="AS16" s="290">
        <f>IF(('Synthèse PER'!P16="A faire")*AND('Synthèse PER'!E16="Tertiaire"),'Synthèse PER'!H16,0)</f>
        <v>0</v>
      </c>
      <c r="AT16" s="290">
        <f>IF(('Synthèse PER'!P16="A faire")*AND('Synthèse PER'!E16="Transport"),'Synthèse PER'!H16,0)</f>
        <v>0</v>
      </c>
      <c r="AU16" s="290">
        <f>IF(('Synthèse PER'!P16="A faire")*AND('Synthèse PER'!E16="Communal"),'Synthèse PER'!H16,0)</f>
        <v>0</v>
      </c>
      <c r="AV16" s="288"/>
      <c r="AW16" s="290">
        <f>IF(('Synthèse PER'!P16="A faire")*AND('Synthèse PER'!E16="Territoire"),'Synthèse PER'!J16,0)</f>
        <v>0</v>
      </c>
      <c r="AX16" s="290">
        <f>IF(('Synthèse PER'!P16="A faire")*AND('Synthèse PER'!E16="Agriculture"),'Synthèse PER'!J16,0)</f>
        <v>0</v>
      </c>
      <c r="AY16" s="290">
        <f>IF(('Synthèse PER'!P16="A faire")*AND('Synthèse PER'!E16="Industrie"),'Synthèse PER'!J16,0)</f>
        <v>0</v>
      </c>
      <c r="AZ16" s="290">
        <f>IF(('Synthèse PER'!P16="A faire")*AND('Synthèse PER'!E16="Logement"),'Synthèse PER'!J16,0)</f>
        <v>0</v>
      </c>
      <c r="BA16" s="290">
        <f>IF(('Synthèse PER'!P16="A faire")*AND('Synthèse PER'!E16="Tertiaire"),'Synthèse PER'!J16,0)</f>
        <v>0</v>
      </c>
      <c r="BB16" s="290">
        <f>IF(('Synthèse PER'!P16="A faire")*AND('Synthèse PER'!E16="Transport"),'Synthèse PER'!J16,0)</f>
        <v>0</v>
      </c>
      <c r="BC16" s="290">
        <f>IF(('Synthèse PER'!P16="A faire")*AND('Synthèse PER'!E16="Communal"),'Synthèse PER'!J16,0)</f>
        <v>0</v>
      </c>
      <c r="BD16" s="288"/>
      <c r="BE16" s="290">
        <f>IF(('Synthèse PER'!P16="A faire")*AND('Synthèse PER'!E16="Territoire"),'Synthèse PER'!K16,0)</f>
        <v>0</v>
      </c>
      <c r="BF16" s="290">
        <f>IF(('Synthèse PER'!P16="A faire")*AND('Synthèse PER'!E16="Agriculture"),'Synthèse PER'!K16,0)</f>
        <v>0</v>
      </c>
      <c r="BG16" s="290">
        <f>IF(('Synthèse PER'!P16="A faire")*AND('Synthèse PER'!E16="Industrie"),'Synthèse PER'!K16,0)</f>
        <v>0</v>
      </c>
      <c r="BH16" s="290">
        <f>IF(('Synthèse PER'!P16="A faire")*AND('Synthèse PER'!E16="Logement"),'Synthèse PER'!K16,0)</f>
        <v>46007.485345811321</v>
      </c>
      <c r="BI16" s="290">
        <f>IF(('Synthèse PER'!P16="A faire")*AND('Synthèse PER'!E16="Tertiaire"),'Synthèse PER'!K16,0)</f>
        <v>0</v>
      </c>
      <c r="BJ16" s="290">
        <f>IF(('Synthèse PER'!P16="A faire")*AND('Synthèse PER'!E16="Transport"),'Synthèse PER'!K16,0)</f>
        <v>0</v>
      </c>
      <c r="BK16" s="290">
        <f>IF(('Synthèse PER'!P16="A faire")*AND('Synthèse PER'!E16="Communal"),'Synthèse PER'!K16,0)</f>
        <v>0</v>
      </c>
      <c r="BL16" s="288"/>
      <c r="BM16" s="290">
        <f>IF(('Synthèse PER'!P16="A faire")*AND('Synthèse PER'!E16="Territoire"),'Synthèse PER'!L16,0)</f>
        <v>0</v>
      </c>
      <c r="BN16" s="290">
        <f>IF(('Synthèse PER'!P16="A faire")*AND('Synthèse PER'!E16="Agriculture"),'Synthèse PER'!L16,0)</f>
        <v>0</v>
      </c>
      <c r="BO16" s="290">
        <f>IF(('Synthèse PER'!P16="A faire")*AND('Synthèse PER'!E16="Industrie"),'Synthèse PER'!L16,0)</f>
        <v>0</v>
      </c>
      <c r="BP16" s="290">
        <f>IF(('Synthèse PER'!P16="A faire")*AND('Synthèse PER'!E16="Logement"),'Synthèse PER'!L16,0)</f>
        <v>0</v>
      </c>
      <c r="BQ16" s="290">
        <f>IF(('Synthèse PER'!P16="A faire")*AND('Synthèse PER'!E16="Tertiaire"),'Synthèse PER'!L16,0)</f>
        <v>0</v>
      </c>
      <c r="BR16" s="290">
        <f>IF(('Synthèse PER'!P16="A faire")*AND('Synthèse PER'!E16="Transport"),'Synthèse PER'!L16,0)</f>
        <v>0</v>
      </c>
      <c r="BS16" s="290">
        <f>IF(('Synthèse PER'!P16="A faire")*AND('Synthèse PER'!E16="Communal"),'Synthèse PER'!L16,0)</f>
        <v>0</v>
      </c>
      <c r="BT16" s="290">
        <f>IF(('Synthèse PER'!Q16="A faire")*AND('Synthèse PER'!F16="Communal"),'Synthèse PER'!M16,0)</f>
        <v>0</v>
      </c>
    </row>
    <row r="17" spans="1:72" s="139" customFormat="1" x14ac:dyDescent="0.25">
      <c r="A17" s="370" t="s">
        <v>774</v>
      </c>
      <c r="B17" s="414" t="str">
        <f>'ADO-24'!B$3:E$3</f>
        <v>Mobilisation</v>
      </c>
      <c r="C17" s="419" t="str">
        <f>'ADO-24'!$B$8</f>
        <v>Grand public</v>
      </c>
      <c r="D17" s="133" t="str">
        <f>'ADO-24'!$B$9</f>
        <v xml:space="preserve">Evènement </v>
      </c>
      <c r="E17" s="133" t="str">
        <f>'ADO-24'!$B$4</f>
        <v>Territoire</v>
      </c>
      <c r="F17" s="133" t="str">
        <f>'ADO-24'!$B$12</f>
        <v>AC MESSANCY</v>
      </c>
      <c r="G17" s="133" t="str">
        <f>'ADO-24'!$B$6</f>
        <v>Sponsoring</v>
      </c>
      <c r="H17" s="134">
        <f>'ADO-24'!$B$17</f>
        <v>5000</v>
      </c>
      <c r="I17" s="133" t="str">
        <f>'ADO-24'!$B$7</f>
        <v>Néant</v>
      </c>
      <c r="J17" s="134">
        <f>'ADO-24'!$B$18</f>
        <v>0</v>
      </c>
      <c r="K17" s="134">
        <f>'ADO-24'!$B$21</f>
        <v>1</v>
      </c>
      <c r="L17" s="134">
        <f>'ADO-24'!$B$22</f>
        <v>0</v>
      </c>
      <c r="M17" s="135">
        <f>'ADO-24'!$B$24</f>
        <v>5000</v>
      </c>
      <c r="N17" s="135">
        <f>'ADO-24'!$B$19/1000</f>
        <v>0</v>
      </c>
      <c r="O17" s="136">
        <f t="shared" si="25"/>
        <v>0</v>
      </c>
      <c r="P17" s="137" t="str">
        <f>'ADO-24'!$B$5</f>
        <v>A faire</v>
      </c>
      <c r="Q17" s="140">
        <f>'ADO-24'!$B$16</f>
        <v>2022</v>
      </c>
      <c r="R17" s="283" t="str">
        <f t="shared" si="26"/>
        <v/>
      </c>
      <c r="S17" s="138">
        <f t="shared" si="9"/>
        <v>0</v>
      </c>
      <c r="T17" s="138">
        <f t="shared" si="10"/>
        <v>0</v>
      </c>
      <c r="U17" s="138">
        <f t="shared" si="11"/>
        <v>0</v>
      </c>
      <c r="V17" s="138">
        <f t="shared" si="12"/>
        <v>0</v>
      </c>
      <c r="W17" s="138">
        <f t="shared" si="13"/>
        <v>0</v>
      </c>
      <c r="X17" s="138">
        <f t="shared" si="14"/>
        <v>0</v>
      </c>
      <c r="Y17" s="138">
        <f t="shared" si="15"/>
        <v>0</v>
      </c>
      <c r="AA17" s="287">
        <f>IF(('Synthèse PER'!P17="A faire")*AND('Synthèse PER'!F17="Agriculture"),'Synthèse PER'!H17,0)</f>
        <v>0</v>
      </c>
      <c r="AB17" s="287">
        <f>IF(('Synthèse PER'!P17="A faire")*AND('Synthèse PER'!F17="Industrie"),'Synthèse PER'!H17,0)</f>
        <v>0</v>
      </c>
      <c r="AC17" s="287">
        <f>IF(('Synthèse PER'!P17="A faire")*AND('Synthèse PER'!F17="Citoyen"),'Synthèse PER'!H17,0)</f>
        <v>0</v>
      </c>
      <c r="AD17" s="287">
        <f>IF(('Synthèse PER'!P17="A faire")*AND('Synthèse PER'!F17="IDELUX"),'Synthèse PER'!H17,0)</f>
        <v>0</v>
      </c>
      <c r="AE17" s="290">
        <f>IF(('Synthèse PER'!P17="A faire")*AND('Synthèse PER'!F17="AC MESSANCY"),'Synthèse PER'!H17,0)</f>
        <v>5000</v>
      </c>
      <c r="AF17" s="287">
        <f>IF(('Synthèse PER'!P17="A faire")*AND('Synthèse PER'!F17="Tertiaire"),'Synthèse PER'!H17,0)</f>
        <v>0</v>
      </c>
      <c r="AG17" s="288"/>
      <c r="AH17" s="290">
        <f>IF(('Synthèse PER'!P17="A faire")*AND('Synthèse PER'!F17="Agriculture"),'Synthèse PER'!J17,0)</f>
        <v>0</v>
      </c>
      <c r="AI17" s="290">
        <f>IF(('Synthèse PER'!P17="A faire")*AND('Synthèse PER'!F17="Industrie"),'Synthèse PER'!J17,0)</f>
        <v>0</v>
      </c>
      <c r="AJ17" s="290">
        <f>IF(('Synthèse PER'!P17="A faire")*AND('Synthèse PER'!F17="Citoyen"),'Synthèse PER'!J17,0)</f>
        <v>0</v>
      </c>
      <c r="AK17" s="290">
        <f>IF(('Synthèse PER'!P17="A faire")*AND('Synthèse PER'!F17="IDELUX"),'Synthèse PER'!J17,0)</f>
        <v>0</v>
      </c>
      <c r="AL17" s="290">
        <f>IF(('Synthèse PER'!P17="A faire")*AND('Synthèse PER'!F17="AC MESSANCY"),'Synthèse PER'!J17,0)</f>
        <v>0</v>
      </c>
      <c r="AM17" s="290">
        <f>IF(('Synthèse PER'!P17="A faire")*AND('Synthèse PER'!F17="Tertiaire"),'Synthèse PER'!J17,0)</f>
        <v>0</v>
      </c>
      <c r="AN17" s="288"/>
      <c r="AO17" s="290">
        <f>IF(('Synthèse PER'!P17="A faire")*AND('Synthèse PER'!E17="Territoire"),'Synthèse PER'!H17,0)</f>
        <v>5000</v>
      </c>
      <c r="AP17" s="290">
        <f>IF(('Synthèse PER'!P17="A faire")*AND('Synthèse PER'!E17="Agriculture"),'Synthèse PER'!H17,0)</f>
        <v>0</v>
      </c>
      <c r="AQ17" s="290">
        <f>IF(('Synthèse PER'!P17="A faire")*AND('Synthèse PER'!E17="Industrie"),'Synthèse PER'!H17,0)</f>
        <v>0</v>
      </c>
      <c r="AR17" s="290">
        <f>IF(('Synthèse PER'!P17="A faire")*AND('Synthèse PER'!E17="Logement"),'Synthèse PER'!H17,0)</f>
        <v>0</v>
      </c>
      <c r="AS17" s="290">
        <f>IF(('Synthèse PER'!P17="A faire")*AND('Synthèse PER'!E17="Tertiaire"),'Synthèse PER'!H17,0)</f>
        <v>0</v>
      </c>
      <c r="AT17" s="290">
        <f>IF(('Synthèse PER'!P17="A faire")*AND('Synthèse PER'!E17="Transport"),'Synthèse PER'!H17,0)</f>
        <v>0</v>
      </c>
      <c r="AU17" s="290">
        <f>IF(('Synthèse PER'!P17="A faire")*AND('Synthèse PER'!E17="Communal"),'Synthèse PER'!H17,0)</f>
        <v>0</v>
      </c>
      <c r="AV17" s="288"/>
      <c r="AW17" s="290">
        <f>IF(('Synthèse PER'!P17="A faire")*AND('Synthèse PER'!E17="Territoire"),'Synthèse PER'!J17,0)</f>
        <v>0</v>
      </c>
      <c r="AX17" s="290">
        <f>IF(('Synthèse PER'!P17="A faire")*AND('Synthèse PER'!E17="Agriculture"),'Synthèse PER'!J17,0)</f>
        <v>0</v>
      </c>
      <c r="AY17" s="290">
        <f>IF(('Synthèse PER'!P17="A faire")*AND('Synthèse PER'!E17="Industrie"),'Synthèse PER'!J17,0)</f>
        <v>0</v>
      </c>
      <c r="AZ17" s="290">
        <f>IF(('Synthèse PER'!P17="A faire")*AND('Synthèse PER'!E17="Logement"),'Synthèse PER'!J17,0)</f>
        <v>0</v>
      </c>
      <c r="BA17" s="290">
        <f>IF(('Synthèse PER'!P17="A faire")*AND('Synthèse PER'!E17="Tertiaire"),'Synthèse PER'!J17,0)</f>
        <v>0</v>
      </c>
      <c r="BB17" s="290">
        <f>IF(('Synthèse PER'!P17="A faire")*AND('Synthèse PER'!E17="Transport"),'Synthèse PER'!J17,0)</f>
        <v>0</v>
      </c>
      <c r="BC17" s="290">
        <f>IF(('Synthèse PER'!P17="A faire")*AND('Synthèse PER'!E17="Communal"),'Synthèse PER'!J17,0)</f>
        <v>0</v>
      </c>
      <c r="BD17" s="288"/>
      <c r="BE17" s="290">
        <f>IF(('Synthèse PER'!P17="A faire")*AND('Synthèse PER'!E17="Territoire"),'Synthèse PER'!K17,0)</f>
        <v>1</v>
      </c>
      <c r="BF17" s="290">
        <f>IF(('Synthèse PER'!P17="A faire")*AND('Synthèse PER'!E17="Agriculture"),'Synthèse PER'!K17,0)</f>
        <v>0</v>
      </c>
      <c r="BG17" s="290">
        <f>IF(('Synthèse PER'!P17="A faire")*AND('Synthèse PER'!E17="Industrie"),'Synthèse PER'!K17,0)</f>
        <v>0</v>
      </c>
      <c r="BH17" s="290">
        <f>IF(('Synthèse PER'!P17="A faire")*AND('Synthèse PER'!E17="Logement"),'Synthèse PER'!K17,0)</f>
        <v>0</v>
      </c>
      <c r="BI17" s="290">
        <f>IF(('Synthèse PER'!P17="A faire")*AND('Synthèse PER'!E17="Tertiaire"),'Synthèse PER'!K17,0)</f>
        <v>0</v>
      </c>
      <c r="BJ17" s="290">
        <f>IF(('Synthèse PER'!P17="A faire")*AND('Synthèse PER'!E17="Transport"),'Synthèse PER'!K17,0)</f>
        <v>0</v>
      </c>
      <c r="BK17" s="290">
        <f>IF(('Synthèse PER'!P17="A faire")*AND('Synthèse PER'!E17="Communal"),'Synthèse PER'!K17,0)</f>
        <v>0</v>
      </c>
      <c r="BL17" s="288"/>
      <c r="BM17" s="290">
        <f>IF(('Synthèse PER'!P17="A faire")*AND('Synthèse PER'!E17="Territoire"),'Synthèse PER'!L17,0)</f>
        <v>0</v>
      </c>
      <c r="BN17" s="290">
        <f>IF(('Synthèse PER'!P17="A faire")*AND('Synthèse PER'!E17="Agriculture"),'Synthèse PER'!L17,0)</f>
        <v>0</v>
      </c>
      <c r="BO17" s="290">
        <f>IF(('Synthèse PER'!P17="A faire")*AND('Synthèse PER'!E17="Industrie"),'Synthèse PER'!L17,0)</f>
        <v>0</v>
      </c>
      <c r="BP17" s="290">
        <f>IF(('Synthèse PER'!P17="A faire")*AND('Synthèse PER'!E17="Logement"),'Synthèse PER'!L17,0)</f>
        <v>0</v>
      </c>
      <c r="BQ17" s="290">
        <f>IF(('Synthèse PER'!P17="A faire")*AND('Synthèse PER'!E17="Tertiaire"),'Synthèse PER'!L17,0)</f>
        <v>0</v>
      </c>
      <c r="BR17" s="290">
        <f>IF(('Synthèse PER'!P17="A faire")*AND('Synthèse PER'!E17="Transport"),'Synthèse PER'!L17,0)</f>
        <v>0</v>
      </c>
      <c r="BS17" s="290">
        <f>IF(('Synthèse PER'!P17="A faire")*AND('Synthèse PER'!E17="Communal"),'Synthèse PER'!L17,0)</f>
        <v>0</v>
      </c>
      <c r="BT17" s="290">
        <f>IF(('Synthèse PER'!Q17="A faire")*AND('Synthèse PER'!F17="Communal"),'Synthèse PER'!M17,0)</f>
        <v>0</v>
      </c>
    </row>
    <row r="18" spans="1:72" s="139" customFormat="1" x14ac:dyDescent="0.25">
      <c r="A18" s="370" t="s">
        <v>775</v>
      </c>
      <c r="B18" s="414" t="str">
        <f>'ADO-25'!B$3:E$3</f>
        <v>Mobilisation</v>
      </c>
      <c r="C18" s="419" t="str">
        <f>'ADO-25'!$B$8</f>
        <v>Grand public</v>
      </c>
      <c r="D18" s="133" t="str">
        <f>'ADO-25'!$B$9</f>
        <v>Evènement festif Supra communal</v>
      </c>
      <c r="E18" s="133" t="str">
        <f>'ADO-25'!$B$4</f>
        <v>Territoire</v>
      </c>
      <c r="F18" s="133" t="str">
        <f>'ADO-25'!$B$12</f>
        <v>AC MESSANCY</v>
      </c>
      <c r="G18" s="133" t="str">
        <f>'ADO-25'!$B$6</f>
        <v>Sponsoring</v>
      </c>
      <c r="H18" s="134">
        <f>'ADO-25'!$B$17</f>
        <v>5000</v>
      </c>
      <c r="I18" s="133" t="str">
        <f>'ADO-25'!$B$7</f>
        <v>Néant</v>
      </c>
      <c r="J18" s="134">
        <f>'ADO-25'!$B$18</f>
        <v>0</v>
      </c>
      <c r="K18" s="134">
        <f>'ADO-25'!$B$21</f>
        <v>1</v>
      </c>
      <c r="L18" s="134">
        <f>'ADO-25'!$B$22</f>
        <v>0</v>
      </c>
      <c r="M18" s="135">
        <f>'ADO-25'!$B$24</f>
        <v>5000</v>
      </c>
      <c r="N18" s="135">
        <f>'ADO-25'!$B$19/1000</f>
        <v>0</v>
      </c>
      <c r="O18" s="136">
        <f t="shared" si="25"/>
        <v>0</v>
      </c>
      <c r="P18" s="137" t="str">
        <f>'ADO-25'!$B$5</f>
        <v>A faire</v>
      </c>
      <c r="Q18" s="140">
        <f>'ADO-25'!$B$16</f>
        <v>2025</v>
      </c>
      <c r="R18" s="283" t="str">
        <f t="shared" si="26"/>
        <v/>
      </c>
      <c r="S18" s="138">
        <f t="shared" si="9"/>
        <v>0</v>
      </c>
      <c r="T18" s="138">
        <f t="shared" si="10"/>
        <v>0</v>
      </c>
      <c r="U18" s="138">
        <f t="shared" si="11"/>
        <v>0</v>
      </c>
      <c r="V18" s="138">
        <f t="shared" si="12"/>
        <v>0</v>
      </c>
      <c r="W18" s="138">
        <f t="shared" si="13"/>
        <v>0</v>
      </c>
      <c r="X18" s="138">
        <f t="shared" si="14"/>
        <v>0</v>
      </c>
      <c r="Y18" s="138">
        <f t="shared" si="15"/>
        <v>0</v>
      </c>
      <c r="AA18" s="287">
        <f>IF(('Synthèse PER'!P18="A faire")*AND('Synthèse PER'!F18="Agriculture"),'Synthèse PER'!H18,0)</f>
        <v>0</v>
      </c>
      <c r="AB18" s="287">
        <f>IF(('Synthèse PER'!P18="A faire")*AND('Synthèse PER'!F18="Industrie"),'Synthèse PER'!H18,0)</f>
        <v>0</v>
      </c>
      <c r="AC18" s="287">
        <f>IF(('Synthèse PER'!P18="A faire")*AND('Synthèse PER'!F18="Citoyen"),'Synthèse PER'!H18,0)</f>
        <v>0</v>
      </c>
      <c r="AD18" s="287">
        <f>IF(('Synthèse PER'!P18="A faire")*AND('Synthèse PER'!F18="IDELUX"),'Synthèse PER'!H18,0)</f>
        <v>0</v>
      </c>
      <c r="AE18" s="290">
        <f>IF(('Synthèse PER'!P18="A faire")*AND('Synthèse PER'!F18="AC MESSANCY"),'Synthèse PER'!H18,0)</f>
        <v>5000</v>
      </c>
      <c r="AF18" s="287">
        <f>IF(('Synthèse PER'!P18="A faire")*AND('Synthèse PER'!F18="Tertiaire"),'Synthèse PER'!H18,0)</f>
        <v>0</v>
      </c>
      <c r="AG18" s="288"/>
      <c r="AH18" s="290">
        <f>IF(('Synthèse PER'!P18="A faire")*AND('Synthèse PER'!F18="Agriculture"),'Synthèse PER'!J18,0)</f>
        <v>0</v>
      </c>
      <c r="AI18" s="290">
        <f>IF(('Synthèse PER'!P18="A faire")*AND('Synthèse PER'!F18="Industrie"),'Synthèse PER'!J18,0)</f>
        <v>0</v>
      </c>
      <c r="AJ18" s="290">
        <f>IF(('Synthèse PER'!P18="A faire")*AND('Synthèse PER'!F18="Citoyen"),'Synthèse PER'!J18,0)</f>
        <v>0</v>
      </c>
      <c r="AK18" s="290">
        <f>IF(('Synthèse PER'!P18="A faire")*AND('Synthèse PER'!F18="IDELUX"),'Synthèse PER'!J18,0)</f>
        <v>0</v>
      </c>
      <c r="AL18" s="290">
        <f>IF(('Synthèse PER'!P18="A faire")*AND('Synthèse PER'!F18="AC MESSANCY"),'Synthèse PER'!J18,0)</f>
        <v>0</v>
      </c>
      <c r="AM18" s="290">
        <f>IF(('Synthèse PER'!P18="A faire")*AND('Synthèse PER'!F18="Tertiaire"),'Synthèse PER'!J18,0)</f>
        <v>0</v>
      </c>
      <c r="AN18" s="288"/>
      <c r="AO18" s="290">
        <f>IF(('Synthèse PER'!P18="A faire")*AND('Synthèse PER'!E18="Territoire"),'Synthèse PER'!H18,0)</f>
        <v>5000</v>
      </c>
      <c r="AP18" s="290">
        <f>IF(('Synthèse PER'!P18="A faire")*AND('Synthèse PER'!E18="Agriculture"),'Synthèse PER'!H18,0)</f>
        <v>0</v>
      </c>
      <c r="AQ18" s="290">
        <f>IF(('Synthèse PER'!P18="A faire")*AND('Synthèse PER'!E18="Industrie"),'Synthèse PER'!H18,0)</f>
        <v>0</v>
      </c>
      <c r="AR18" s="290">
        <f>IF(('Synthèse PER'!P18="A faire")*AND('Synthèse PER'!E18="Logement"),'Synthèse PER'!H18,0)</f>
        <v>0</v>
      </c>
      <c r="AS18" s="290">
        <f>IF(('Synthèse PER'!P18="A faire")*AND('Synthèse PER'!E18="Tertiaire"),'Synthèse PER'!H18,0)</f>
        <v>0</v>
      </c>
      <c r="AT18" s="290">
        <f>IF(('Synthèse PER'!P18="A faire")*AND('Synthèse PER'!E18="Transport"),'Synthèse PER'!H18,0)</f>
        <v>0</v>
      </c>
      <c r="AU18" s="290">
        <f>IF(('Synthèse PER'!P18="A faire")*AND('Synthèse PER'!E18="Communal"),'Synthèse PER'!H18,0)</f>
        <v>0</v>
      </c>
      <c r="AV18" s="288"/>
      <c r="AW18" s="290">
        <f>IF(('Synthèse PER'!P18="A faire")*AND('Synthèse PER'!E18="Territoire"),'Synthèse PER'!J18,0)</f>
        <v>0</v>
      </c>
      <c r="AX18" s="290">
        <f>IF(('Synthèse PER'!P18="A faire")*AND('Synthèse PER'!E18="Agriculture"),'Synthèse PER'!J18,0)</f>
        <v>0</v>
      </c>
      <c r="AY18" s="290">
        <f>IF(('Synthèse PER'!P18="A faire")*AND('Synthèse PER'!E18="Industrie"),'Synthèse PER'!J18,0)</f>
        <v>0</v>
      </c>
      <c r="AZ18" s="290">
        <f>IF(('Synthèse PER'!P18="A faire")*AND('Synthèse PER'!E18="Logement"),'Synthèse PER'!J18,0)</f>
        <v>0</v>
      </c>
      <c r="BA18" s="290">
        <f>IF(('Synthèse PER'!P18="A faire")*AND('Synthèse PER'!E18="Tertiaire"),'Synthèse PER'!J18,0)</f>
        <v>0</v>
      </c>
      <c r="BB18" s="290">
        <f>IF(('Synthèse PER'!P18="A faire")*AND('Synthèse PER'!E18="Transport"),'Synthèse PER'!J18,0)</f>
        <v>0</v>
      </c>
      <c r="BC18" s="290">
        <f>IF(('Synthèse PER'!P18="A faire")*AND('Synthèse PER'!E18="Communal"),'Synthèse PER'!J18,0)</f>
        <v>0</v>
      </c>
      <c r="BD18" s="288"/>
      <c r="BE18" s="290">
        <f>IF(('Synthèse PER'!P18="A faire")*AND('Synthèse PER'!E18="Territoire"),'Synthèse PER'!K18,0)</f>
        <v>1</v>
      </c>
      <c r="BF18" s="290">
        <f>IF(('Synthèse PER'!P18="A faire")*AND('Synthèse PER'!E18="Agriculture"),'Synthèse PER'!K18,0)</f>
        <v>0</v>
      </c>
      <c r="BG18" s="290">
        <f>IF(('Synthèse PER'!P18="A faire")*AND('Synthèse PER'!E18="Industrie"),'Synthèse PER'!K18,0)</f>
        <v>0</v>
      </c>
      <c r="BH18" s="290">
        <f>IF(('Synthèse PER'!P18="A faire")*AND('Synthèse PER'!E18="Logement"),'Synthèse PER'!K18,0)</f>
        <v>0</v>
      </c>
      <c r="BI18" s="290">
        <f>IF(('Synthèse PER'!P18="A faire")*AND('Synthèse PER'!E18="Tertiaire"),'Synthèse PER'!K18,0)</f>
        <v>0</v>
      </c>
      <c r="BJ18" s="290">
        <f>IF(('Synthèse PER'!P18="A faire")*AND('Synthèse PER'!E18="Transport"),'Synthèse PER'!K18,0)</f>
        <v>0</v>
      </c>
      <c r="BK18" s="290">
        <f>IF(('Synthèse PER'!P18="A faire")*AND('Synthèse PER'!E18="Communal"),'Synthèse PER'!K18,0)</f>
        <v>0</v>
      </c>
      <c r="BL18" s="288"/>
      <c r="BM18" s="290">
        <f>IF(('Synthèse PER'!P18="A faire")*AND('Synthèse PER'!E18="Territoire"),'Synthèse PER'!L18,0)</f>
        <v>0</v>
      </c>
      <c r="BN18" s="290">
        <f>IF(('Synthèse PER'!P18="A faire")*AND('Synthèse PER'!E18="Agriculture"),'Synthèse PER'!L18,0)</f>
        <v>0</v>
      </c>
      <c r="BO18" s="290">
        <f>IF(('Synthèse PER'!P18="A faire")*AND('Synthèse PER'!E18="Industrie"),'Synthèse PER'!L18,0)</f>
        <v>0</v>
      </c>
      <c r="BP18" s="290">
        <f>IF(('Synthèse PER'!P18="A faire")*AND('Synthèse PER'!E18="Logement"),'Synthèse PER'!L18,0)</f>
        <v>0</v>
      </c>
      <c r="BQ18" s="290">
        <f>IF(('Synthèse PER'!P18="A faire")*AND('Synthèse PER'!E18="Tertiaire"),'Synthèse PER'!L18,0)</f>
        <v>0</v>
      </c>
      <c r="BR18" s="290">
        <f>IF(('Synthèse PER'!P18="A faire")*AND('Synthèse PER'!E18="Transport"),'Synthèse PER'!L18,0)</f>
        <v>0</v>
      </c>
      <c r="BS18" s="290">
        <f>IF(('Synthèse PER'!P18="A faire")*AND('Synthèse PER'!E18="Communal"),'Synthèse PER'!L18,0)</f>
        <v>0</v>
      </c>
      <c r="BT18" s="290">
        <f>IF(('Synthèse PER'!Q18="A faire")*AND('Synthèse PER'!F18="Communal"),'Synthèse PER'!M18,0)</f>
        <v>0</v>
      </c>
    </row>
    <row r="19" spans="1:72" s="139" customFormat="1" x14ac:dyDescent="0.25">
      <c r="A19" s="370" t="s">
        <v>776</v>
      </c>
      <c r="B19" s="414" t="str">
        <f>'ADO-26'!B$3:E$3</f>
        <v>Mobilisation</v>
      </c>
      <c r="C19" s="419" t="str">
        <f>'ADO-26'!$B$8</f>
        <v>Centrale d'achat</v>
      </c>
      <c r="D19" s="133" t="str">
        <f>'ADO-26'!$B$9</f>
        <v>Centrale d'achat</v>
      </c>
      <c r="E19" s="133" t="str">
        <f>'ADO-26'!$B$4</f>
        <v>Territoire</v>
      </c>
      <c r="F19" s="133" t="str">
        <f>'ADO-26'!$B$12</f>
        <v>AC MESSANCY</v>
      </c>
      <c r="G19" s="133" t="str">
        <f>'ADO-26'!$B$6</f>
        <v>Néant</v>
      </c>
      <c r="H19" s="134">
        <f>'ADO-26'!$B$17</f>
        <v>2000</v>
      </c>
      <c r="I19" s="133" t="str">
        <f>'ADO-26'!$B$7</f>
        <v>Néant</v>
      </c>
      <c r="J19" s="134">
        <f>'ADO-26'!$B$18</f>
        <v>0</v>
      </c>
      <c r="K19" s="134">
        <f>'ADO-26'!$B$21</f>
        <v>1</v>
      </c>
      <c r="L19" s="134">
        <f>'ADO-26'!$B$22</f>
        <v>0</v>
      </c>
      <c r="M19" s="135">
        <f>'ADO-26'!$B$24</f>
        <v>2000</v>
      </c>
      <c r="N19" s="135">
        <f>'ADO-26'!$B$19/1000</f>
        <v>0</v>
      </c>
      <c r="O19" s="136">
        <f t="shared" si="25"/>
        <v>0</v>
      </c>
      <c r="P19" s="137" t="str">
        <f>'ADO-26'!$B$5</f>
        <v>A faire</v>
      </c>
      <c r="Q19" s="140">
        <f>'ADO-26'!$B$16</f>
        <v>2030</v>
      </c>
      <c r="R19" s="283" t="str">
        <f t="shared" si="26"/>
        <v/>
      </c>
      <c r="S19" s="138">
        <f t="shared" si="9"/>
        <v>0</v>
      </c>
      <c r="T19" s="138">
        <f t="shared" si="10"/>
        <v>0</v>
      </c>
      <c r="U19" s="138">
        <f t="shared" si="11"/>
        <v>0</v>
      </c>
      <c r="V19" s="138">
        <f t="shared" si="12"/>
        <v>0</v>
      </c>
      <c r="W19" s="138">
        <f t="shared" si="13"/>
        <v>0</v>
      </c>
      <c r="X19" s="138">
        <f t="shared" si="14"/>
        <v>0</v>
      </c>
      <c r="Y19" s="138">
        <f t="shared" si="15"/>
        <v>0</v>
      </c>
      <c r="AA19" s="287">
        <f>IF(('Synthèse PER'!P19="A faire")*AND('Synthèse PER'!F19="Agriculture"),'Synthèse PER'!H19,0)</f>
        <v>0</v>
      </c>
      <c r="AB19" s="287">
        <f>IF(('Synthèse PER'!P19="A faire")*AND('Synthèse PER'!F19="Industrie"),'Synthèse PER'!H19,0)</f>
        <v>0</v>
      </c>
      <c r="AC19" s="287">
        <f>IF(('Synthèse PER'!P19="A faire")*AND('Synthèse PER'!F19="Citoyen"),'Synthèse PER'!H19,0)</f>
        <v>0</v>
      </c>
      <c r="AD19" s="287">
        <f>IF(('Synthèse PER'!P19="A faire")*AND('Synthèse PER'!F19="IDELUX"),'Synthèse PER'!H19,0)</f>
        <v>0</v>
      </c>
      <c r="AE19" s="290">
        <f>IF(('Synthèse PER'!P19="A faire")*AND('Synthèse PER'!F19="AC MESSANCY"),'Synthèse PER'!H19,0)</f>
        <v>2000</v>
      </c>
      <c r="AF19" s="287">
        <f>IF(('Synthèse PER'!P19="A faire")*AND('Synthèse PER'!F19="Tertiaire"),'Synthèse PER'!H19,0)</f>
        <v>0</v>
      </c>
      <c r="AG19" s="288"/>
      <c r="AH19" s="290">
        <f>IF(('Synthèse PER'!P19="A faire")*AND('Synthèse PER'!F19="Agriculture"),'Synthèse PER'!J19,0)</f>
        <v>0</v>
      </c>
      <c r="AI19" s="290">
        <f>IF(('Synthèse PER'!P19="A faire")*AND('Synthèse PER'!F19="Industrie"),'Synthèse PER'!J19,0)</f>
        <v>0</v>
      </c>
      <c r="AJ19" s="290">
        <f>IF(('Synthèse PER'!P19="A faire")*AND('Synthèse PER'!F19="Citoyen"),'Synthèse PER'!J19,0)</f>
        <v>0</v>
      </c>
      <c r="AK19" s="290">
        <f>IF(('Synthèse PER'!P19="A faire")*AND('Synthèse PER'!F19="IDELUX"),'Synthèse PER'!J19,0)</f>
        <v>0</v>
      </c>
      <c r="AL19" s="290">
        <f>IF(('Synthèse PER'!P19="A faire")*AND('Synthèse PER'!F19="AC MESSANCY"),'Synthèse PER'!J19,0)</f>
        <v>0</v>
      </c>
      <c r="AM19" s="290">
        <f>IF(('Synthèse PER'!P19="A faire")*AND('Synthèse PER'!F19="Tertiaire"),'Synthèse PER'!J19,0)</f>
        <v>0</v>
      </c>
      <c r="AN19" s="288"/>
      <c r="AO19" s="290">
        <f>IF(('Synthèse PER'!P19="A faire")*AND('Synthèse PER'!E19="Territoire"),'Synthèse PER'!H19,0)</f>
        <v>2000</v>
      </c>
      <c r="AP19" s="290">
        <f>IF(('Synthèse PER'!P19="A faire")*AND('Synthèse PER'!E19="Agriculture"),'Synthèse PER'!H19,0)</f>
        <v>0</v>
      </c>
      <c r="AQ19" s="290">
        <f>IF(('Synthèse PER'!P19="A faire")*AND('Synthèse PER'!E19="Industrie"),'Synthèse PER'!H19,0)</f>
        <v>0</v>
      </c>
      <c r="AR19" s="290">
        <f>IF(('Synthèse PER'!P19="A faire")*AND('Synthèse PER'!E19="Logement"),'Synthèse PER'!H19,0)</f>
        <v>0</v>
      </c>
      <c r="AS19" s="290">
        <f>IF(('Synthèse PER'!P19="A faire")*AND('Synthèse PER'!E19="Tertiaire"),'Synthèse PER'!H19,0)</f>
        <v>0</v>
      </c>
      <c r="AT19" s="290">
        <f>IF(('Synthèse PER'!P19="A faire")*AND('Synthèse PER'!E19="Transport"),'Synthèse PER'!H19,0)</f>
        <v>0</v>
      </c>
      <c r="AU19" s="290">
        <f>IF(('Synthèse PER'!P19="A faire")*AND('Synthèse PER'!E19="Communal"),'Synthèse PER'!H19,0)</f>
        <v>0</v>
      </c>
      <c r="AV19" s="288"/>
      <c r="AW19" s="290">
        <f>IF(('Synthèse PER'!P19="A faire")*AND('Synthèse PER'!E19="Territoire"),'Synthèse PER'!J19,0)</f>
        <v>0</v>
      </c>
      <c r="AX19" s="290">
        <f>IF(('Synthèse PER'!P19="A faire")*AND('Synthèse PER'!E19="Agriculture"),'Synthèse PER'!J19,0)</f>
        <v>0</v>
      </c>
      <c r="AY19" s="290">
        <f>IF(('Synthèse PER'!P19="A faire")*AND('Synthèse PER'!E19="Industrie"),'Synthèse PER'!J19,0)</f>
        <v>0</v>
      </c>
      <c r="AZ19" s="290">
        <f>IF(('Synthèse PER'!P19="A faire")*AND('Synthèse PER'!E19="Logement"),'Synthèse PER'!J19,0)</f>
        <v>0</v>
      </c>
      <c r="BA19" s="290">
        <f>IF(('Synthèse PER'!P19="A faire")*AND('Synthèse PER'!E19="Tertiaire"),'Synthèse PER'!J19,0)</f>
        <v>0</v>
      </c>
      <c r="BB19" s="290">
        <f>IF(('Synthèse PER'!P19="A faire")*AND('Synthèse PER'!E19="Transport"),'Synthèse PER'!J19,0)</f>
        <v>0</v>
      </c>
      <c r="BC19" s="290">
        <f>IF(('Synthèse PER'!P19="A faire")*AND('Synthèse PER'!E19="Communal"),'Synthèse PER'!J19,0)</f>
        <v>0</v>
      </c>
      <c r="BD19" s="288"/>
      <c r="BE19" s="290">
        <f>IF(('Synthèse PER'!P19="A faire")*AND('Synthèse PER'!E19="Territoire"),'Synthèse PER'!K19,0)</f>
        <v>1</v>
      </c>
      <c r="BF19" s="290">
        <f>IF(('Synthèse PER'!P19="A faire")*AND('Synthèse PER'!E19="Agriculture"),'Synthèse PER'!K19,0)</f>
        <v>0</v>
      </c>
      <c r="BG19" s="290">
        <f>IF(('Synthèse PER'!P19="A faire")*AND('Synthèse PER'!E19="Industrie"),'Synthèse PER'!K19,0)</f>
        <v>0</v>
      </c>
      <c r="BH19" s="290">
        <f>IF(('Synthèse PER'!P19="A faire")*AND('Synthèse PER'!E19="Logement"),'Synthèse PER'!K19,0)</f>
        <v>0</v>
      </c>
      <c r="BI19" s="290">
        <f>IF(('Synthèse PER'!P19="A faire")*AND('Synthèse PER'!E19="Tertiaire"),'Synthèse PER'!K19,0)</f>
        <v>0</v>
      </c>
      <c r="BJ19" s="290">
        <f>IF(('Synthèse PER'!P19="A faire")*AND('Synthèse PER'!E19="Transport"),'Synthèse PER'!K19,0)</f>
        <v>0</v>
      </c>
      <c r="BK19" s="290">
        <f>IF(('Synthèse PER'!P19="A faire")*AND('Synthèse PER'!E19="Communal"),'Synthèse PER'!K19,0)</f>
        <v>0</v>
      </c>
      <c r="BL19" s="288"/>
      <c r="BM19" s="290">
        <f>IF(('Synthèse PER'!P19="A faire")*AND('Synthèse PER'!E19="Territoire"),'Synthèse PER'!L19,0)</f>
        <v>0</v>
      </c>
      <c r="BN19" s="290">
        <f>IF(('Synthèse PER'!P19="A faire")*AND('Synthèse PER'!E19="Agriculture"),'Synthèse PER'!L19,0)</f>
        <v>0</v>
      </c>
      <c r="BO19" s="290">
        <f>IF(('Synthèse PER'!P19="A faire")*AND('Synthèse PER'!E19="Industrie"),'Synthèse PER'!L19,0)</f>
        <v>0</v>
      </c>
      <c r="BP19" s="290">
        <f>IF(('Synthèse PER'!P19="A faire")*AND('Synthèse PER'!E19="Logement"),'Synthèse PER'!L19,0)</f>
        <v>0</v>
      </c>
      <c r="BQ19" s="290">
        <f>IF(('Synthèse PER'!P19="A faire")*AND('Synthèse PER'!E19="Tertiaire"),'Synthèse PER'!L19,0)</f>
        <v>0</v>
      </c>
      <c r="BR19" s="290">
        <f>IF(('Synthèse PER'!P19="A faire")*AND('Synthèse PER'!E19="Transport"),'Synthèse PER'!L19,0)</f>
        <v>0</v>
      </c>
      <c r="BS19" s="290">
        <f>IF(('Synthèse PER'!P19="A faire")*AND('Synthèse PER'!E19="Communal"),'Synthèse PER'!L19,0)</f>
        <v>0</v>
      </c>
      <c r="BT19" s="290">
        <f>IF(('Synthèse PER'!Q19="A faire")*AND('Synthèse PER'!F19="Communal"),'Synthèse PER'!M19,0)</f>
        <v>0</v>
      </c>
    </row>
    <row r="20" spans="1:72" s="139" customFormat="1" x14ac:dyDescent="0.25">
      <c r="A20" s="370" t="s">
        <v>777</v>
      </c>
      <c r="B20" s="414" t="str">
        <f>'ADO-27'!B$3:E$3</f>
        <v>Mobilisation</v>
      </c>
      <c r="C20" s="419" t="str">
        <f>'ADO-27'!$B$8</f>
        <v>Tous publics</v>
      </c>
      <c r="D20" s="133" t="str">
        <f>'ADO-27'!$B$9</f>
        <v>Analyse thermographique</v>
      </c>
      <c r="E20" s="133" t="str">
        <f>'ADO-27'!$B$4</f>
        <v>Communal</v>
      </c>
      <c r="F20" s="133" t="str">
        <f>'ADO-27'!$B$12</f>
        <v>AC MESSANCY</v>
      </c>
      <c r="G20" s="133" t="str">
        <f>'ADO-27'!$B$6</f>
        <v>Fonds propres</v>
      </c>
      <c r="H20" s="134">
        <f>'ADO-27'!$B$17</f>
        <v>25000</v>
      </c>
      <c r="I20" s="133" t="str">
        <f>'ADO-27'!$B$7</f>
        <v>Néant</v>
      </c>
      <c r="J20" s="134">
        <f>'ADO-27'!$B$18</f>
        <v>0</v>
      </c>
      <c r="K20" s="134">
        <f>'ADO-27'!$B$21</f>
        <v>1</v>
      </c>
      <c r="L20" s="134">
        <f>'ADO-27'!$B$22</f>
        <v>0</v>
      </c>
      <c r="M20" s="135">
        <f>'ADO-27'!$B$24</f>
        <v>25000</v>
      </c>
      <c r="N20" s="135">
        <f>'ADO-27'!$B$19/1000</f>
        <v>0</v>
      </c>
      <c r="O20" s="136">
        <f t="shared" si="25"/>
        <v>0</v>
      </c>
      <c r="P20" s="137" t="str">
        <f>'ADO-27'!$B$5</f>
        <v>A faire</v>
      </c>
      <c r="Q20" s="140">
        <f>'ADO-27'!$B$16</f>
        <v>2030</v>
      </c>
      <c r="R20" s="283" t="str">
        <f t="shared" si="26"/>
        <v/>
      </c>
      <c r="S20" s="138">
        <f t="shared" si="9"/>
        <v>0</v>
      </c>
      <c r="T20" s="138">
        <f t="shared" si="10"/>
        <v>0</v>
      </c>
      <c r="U20" s="138">
        <f t="shared" si="11"/>
        <v>0</v>
      </c>
      <c r="V20" s="138">
        <f t="shared" si="12"/>
        <v>0</v>
      </c>
      <c r="W20" s="138">
        <f t="shared" si="13"/>
        <v>0</v>
      </c>
      <c r="X20" s="138">
        <f t="shared" si="14"/>
        <v>0</v>
      </c>
      <c r="Y20" s="138">
        <f t="shared" si="15"/>
        <v>0</v>
      </c>
      <c r="AA20" s="287">
        <f>IF(('Synthèse PER'!P20="A faire")*AND('Synthèse PER'!F20="Agriculture"),'Synthèse PER'!H20,0)</f>
        <v>0</v>
      </c>
      <c r="AB20" s="287">
        <f>IF(('Synthèse PER'!P20="A faire")*AND('Synthèse PER'!F20="Industrie"),'Synthèse PER'!H20,0)</f>
        <v>0</v>
      </c>
      <c r="AC20" s="287">
        <f>IF(('Synthèse PER'!P20="A faire")*AND('Synthèse PER'!F20="Citoyen"),'Synthèse PER'!H20,0)</f>
        <v>0</v>
      </c>
      <c r="AD20" s="287">
        <f>IF(('Synthèse PER'!P20="A faire")*AND('Synthèse PER'!F20="IDELUX"),'Synthèse PER'!H20,0)</f>
        <v>0</v>
      </c>
      <c r="AE20" s="290">
        <f>IF(('Synthèse PER'!P20="A faire")*AND('Synthèse PER'!F20="AC MESSANCY"),'Synthèse PER'!H20,0)</f>
        <v>25000</v>
      </c>
      <c r="AF20" s="287">
        <f>IF(('Synthèse PER'!P20="A faire")*AND('Synthèse PER'!F20="Tertiaire"),'Synthèse PER'!H20,0)</f>
        <v>0</v>
      </c>
      <c r="AG20" s="288"/>
      <c r="AH20" s="290">
        <f>IF(('Synthèse PER'!P20="A faire")*AND('Synthèse PER'!F20="Agriculture"),'Synthèse PER'!J20,0)</f>
        <v>0</v>
      </c>
      <c r="AI20" s="290">
        <f>IF(('Synthèse PER'!P20="A faire")*AND('Synthèse PER'!F20="Industrie"),'Synthèse PER'!J20,0)</f>
        <v>0</v>
      </c>
      <c r="AJ20" s="290">
        <f>IF(('Synthèse PER'!P20="A faire")*AND('Synthèse PER'!F20="Citoyen"),'Synthèse PER'!J20,0)</f>
        <v>0</v>
      </c>
      <c r="AK20" s="290">
        <f>IF(('Synthèse PER'!P20="A faire")*AND('Synthèse PER'!F20="IDELUX"),'Synthèse PER'!J20,0)</f>
        <v>0</v>
      </c>
      <c r="AL20" s="290">
        <f>IF(('Synthèse PER'!P20="A faire")*AND('Synthèse PER'!F20="AC MESSANCY"),'Synthèse PER'!J20,0)</f>
        <v>0</v>
      </c>
      <c r="AM20" s="290">
        <f>IF(('Synthèse PER'!P20="A faire")*AND('Synthèse PER'!F20="Tertiaire"),'Synthèse PER'!J20,0)</f>
        <v>0</v>
      </c>
      <c r="AN20" s="288"/>
      <c r="AO20" s="290">
        <f>IF(('Synthèse PER'!P20="A faire")*AND('Synthèse PER'!E20="Territoire"),'Synthèse PER'!H20,0)</f>
        <v>0</v>
      </c>
      <c r="AP20" s="290">
        <f>IF(('Synthèse PER'!P20="A faire")*AND('Synthèse PER'!E20="Agriculture"),'Synthèse PER'!H20,0)</f>
        <v>0</v>
      </c>
      <c r="AQ20" s="290">
        <f>IF(('Synthèse PER'!P20="A faire")*AND('Synthèse PER'!E20="Industrie"),'Synthèse PER'!H20,0)</f>
        <v>0</v>
      </c>
      <c r="AR20" s="290">
        <f>IF(('Synthèse PER'!P20="A faire")*AND('Synthèse PER'!E20="Logement"),'Synthèse PER'!H20,0)</f>
        <v>0</v>
      </c>
      <c r="AS20" s="290">
        <f>IF(('Synthèse PER'!P20="A faire")*AND('Synthèse PER'!E20="Tertiaire"),'Synthèse PER'!H20,0)</f>
        <v>0</v>
      </c>
      <c r="AT20" s="290">
        <f>IF(('Synthèse PER'!P20="A faire")*AND('Synthèse PER'!E20="Transport"),'Synthèse PER'!H20,0)</f>
        <v>0</v>
      </c>
      <c r="AU20" s="290">
        <f>IF(('Synthèse PER'!P20="A faire")*AND('Synthèse PER'!E20="Communal"),'Synthèse PER'!H20,0)</f>
        <v>25000</v>
      </c>
      <c r="AV20" s="288"/>
      <c r="AW20" s="290">
        <f>IF(('Synthèse PER'!P20="A faire")*AND('Synthèse PER'!E20="Territoire"),'Synthèse PER'!J20,0)</f>
        <v>0</v>
      </c>
      <c r="AX20" s="290">
        <f>IF(('Synthèse PER'!P20="A faire")*AND('Synthèse PER'!E20="Agriculture"),'Synthèse PER'!J20,0)</f>
        <v>0</v>
      </c>
      <c r="AY20" s="290">
        <f>IF(('Synthèse PER'!P20="A faire")*AND('Synthèse PER'!E20="Industrie"),'Synthèse PER'!J20,0)</f>
        <v>0</v>
      </c>
      <c r="AZ20" s="290">
        <f>IF(('Synthèse PER'!P20="A faire")*AND('Synthèse PER'!E20="Logement"),'Synthèse PER'!J20,0)</f>
        <v>0</v>
      </c>
      <c r="BA20" s="290">
        <f>IF(('Synthèse PER'!P20="A faire")*AND('Synthèse PER'!E20="Tertiaire"),'Synthèse PER'!J20,0)</f>
        <v>0</v>
      </c>
      <c r="BB20" s="290">
        <f>IF(('Synthèse PER'!P20="A faire")*AND('Synthèse PER'!E20="Transport"),'Synthèse PER'!J20,0)</f>
        <v>0</v>
      </c>
      <c r="BC20" s="290">
        <f>IF(('Synthèse PER'!P20="A faire")*AND('Synthèse PER'!E20="Communal"),'Synthèse PER'!J20,0)</f>
        <v>0</v>
      </c>
      <c r="BD20" s="288"/>
      <c r="BE20" s="290">
        <f>IF(('Synthèse PER'!P20="A faire")*AND('Synthèse PER'!E20="Territoire"),'Synthèse PER'!K20,0)</f>
        <v>0</v>
      </c>
      <c r="BF20" s="290">
        <f>IF(('Synthèse PER'!P20="A faire")*AND('Synthèse PER'!E20="Agriculture"),'Synthèse PER'!K20,0)</f>
        <v>0</v>
      </c>
      <c r="BG20" s="290">
        <f>IF(('Synthèse PER'!P20="A faire")*AND('Synthèse PER'!E20="Industrie"),'Synthèse PER'!K20,0)</f>
        <v>0</v>
      </c>
      <c r="BH20" s="290">
        <f>IF(('Synthèse PER'!P20="A faire")*AND('Synthèse PER'!E20="Logement"),'Synthèse PER'!K20,0)</f>
        <v>0</v>
      </c>
      <c r="BI20" s="290">
        <f>IF(('Synthèse PER'!P20="A faire")*AND('Synthèse PER'!E20="Tertiaire"),'Synthèse PER'!K20,0)</f>
        <v>0</v>
      </c>
      <c r="BJ20" s="290">
        <f>IF(('Synthèse PER'!P20="A faire")*AND('Synthèse PER'!E20="Transport"),'Synthèse PER'!K20,0)</f>
        <v>0</v>
      </c>
      <c r="BK20" s="290">
        <f>IF(('Synthèse PER'!P20="A faire")*AND('Synthèse PER'!E20="Communal"),'Synthèse PER'!K20,0)</f>
        <v>1</v>
      </c>
      <c r="BL20" s="288"/>
      <c r="BM20" s="290">
        <f>IF(('Synthèse PER'!P20="A faire")*AND('Synthèse PER'!E20="Territoire"),'Synthèse PER'!L20,0)</f>
        <v>0</v>
      </c>
      <c r="BN20" s="290">
        <f>IF(('Synthèse PER'!P20="A faire")*AND('Synthèse PER'!E20="Agriculture"),'Synthèse PER'!L20,0)</f>
        <v>0</v>
      </c>
      <c r="BO20" s="290">
        <f>IF(('Synthèse PER'!P20="A faire")*AND('Synthèse PER'!E20="Industrie"),'Synthèse PER'!L20,0)</f>
        <v>0</v>
      </c>
      <c r="BP20" s="290">
        <f>IF(('Synthèse PER'!P20="A faire")*AND('Synthèse PER'!E20="Logement"),'Synthèse PER'!L20,0)</f>
        <v>0</v>
      </c>
      <c r="BQ20" s="290">
        <f>IF(('Synthèse PER'!P20="A faire")*AND('Synthèse PER'!E20="Tertiaire"),'Synthèse PER'!L20,0)</f>
        <v>0</v>
      </c>
      <c r="BR20" s="290">
        <f>IF(('Synthèse PER'!P20="A faire")*AND('Synthèse PER'!E20="Transport"),'Synthèse PER'!L20,0)</f>
        <v>0</v>
      </c>
      <c r="BS20" s="290">
        <f>IF(('Synthèse PER'!P20="A faire")*AND('Synthèse PER'!E20="Communal"),'Synthèse PER'!L20,0)</f>
        <v>0</v>
      </c>
      <c r="BT20" s="290">
        <f>IF(('Synthèse PER'!Q20="A faire")*AND('Synthèse PER'!F20="Communal"),'Synthèse PER'!M20,0)</f>
        <v>0</v>
      </c>
    </row>
    <row r="21" spans="1:72" s="139" customFormat="1" x14ac:dyDescent="0.25">
      <c r="A21" s="370" t="s">
        <v>778</v>
      </c>
      <c r="B21" s="414" t="str">
        <f>'ADO-28'!B$3:E$3</f>
        <v>Mobilisation</v>
      </c>
      <c r="C21" s="419" t="str">
        <f>'ADO-28'!$B$8</f>
        <v>Grand public</v>
      </c>
      <c r="D21" s="133" t="str">
        <f>'ADO-28'!$B$9</f>
        <v>Incitant à la contribution au PAED</v>
      </c>
      <c r="E21" s="133" t="str">
        <f>'ADO-28'!$B$4</f>
        <v>Territoire</v>
      </c>
      <c r="F21" s="133" t="str">
        <f>'ADO-28'!$B$12</f>
        <v>AC MESSANCY</v>
      </c>
      <c r="G21" s="133" t="str">
        <f>'ADO-28'!$B$6</f>
        <v>Fonds propres</v>
      </c>
      <c r="H21" s="134">
        <f>'ADO-28'!$B$17</f>
        <v>97410</v>
      </c>
      <c r="I21" s="133" t="str">
        <f>'ADO-28'!$B$7</f>
        <v>Subs RW</v>
      </c>
      <c r="J21" s="134">
        <f>'ADO-28'!$B$18</f>
        <v>0</v>
      </c>
      <c r="K21" s="134">
        <f>'ADO-28'!$B$21</f>
        <v>1</v>
      </c>
      <c r="L21" s="134">
        <f>'ADO-28'!$B$22</f>
        <v>0</v>
      </c>
      <c r="M21" s="135">
        <f>'ADO-28'!$B$24</f>
        <v>97410</v>
      </c>
      <c r="N21" s="135">
        <f>'ADO-28'!$B$19/1000</f>
        <v>0</v>
      </c>
      <c r="O21" s="136">
        <f t="shared" si="25"/>
        <v>0</v>
      </c>
      <c r="P21" s="137" t="str">
        <f>'ADO-28'!$B$5</f>
        <v>A faire</v>
      </c>
      <c r="Q21" s="140">
        <f>'ADO-28'!$B$16</f>
        <v>2030</v>
      </c>
      <c r="R21" s="283" t="str">
        <f t="shared" si="26"/>
        <v/>
      </c>
      <c r="S21" s="138">
        <f t="shared" si="9"/>
        <v>0</v>
      </c>
      <c r="T21" s="138">
        <f t="shared" si="10"/>
        <v>0</v>
      </c>
      <c r="U21" s="138">
        <f t="shared" si="11"/>
        <v>0</v>
      </c>
      <c r="V21" s="138">
        <f t="shared" si="12"/>
        <v>0</v>
      </c>
      <c r="W21" s="138">
        <f t="shared" si="13"/>
        <v>0</v>
      </c>
      <c r="X21" s="138">
        <f t="shared" si="14"/>
        <v>0</v>
      </c>
      <c r="Y21" s="138">
        <f t="shared" si="15"/>
        <v>0</v>
      </c>
      <c r="AA21" s="287">
        <f>IF(('Synthèse PER'!P21="A faire")*AND('Synthèse PER'!F21="Agriculture"),'Synthèse PER'!H21,0)</f>
        <v>0</v>
      </c>
      <c r="AB21" s="287">
        <f>IF(('Synthèse PER'!P21="A faire")*AND('Synthèse PER'!F21="Industrie"),'Synthèse PER'!H21,0)</f>
        <v>0</v>
      </c>
      <c r="AC21" s="287">
        <f>IF(('Synthèse PER'!P21="A faire")*AND('Synthèse PER'!F21="Citoyen"),'Synthèse PER'!H21,0)</f>
        <v>0</v>
      </c>
      <c r="AD21" s="287">
        <f>IF(('Synthèse PER'!P21="A faire")*AND('Synthèse PER'!F21="IDELUX"),'Synthèse PER'!H21,0)</f>
        <v>0</v>
      </c>
      <c r="AE21" s="290">
        <f>IF(('Synthèse PER'!P21="A faire")*AND('Synthèse PER'!F21="AC MESSANCY"),'Synthèse PER'!H21,0)</f>
        <v>97410</v>
      </c>
      <c r="AF21" s="287">
        <f>IF(('Synthèse PER'!P21="A faire")*AND('Synthèse PER'!F21="Tertiaire"),'Synthèse PER'!H21,0)</f>
        <v>0</v>
      </c>
      <c r="AG21" s="288"/>
      <c r="AH21" s="290">
        <f>IF(('Synthèse PER'!P21="A faire")*AND('Synthèse PER'!F21="Agriculture"),'Synthèse PER'!J21,0)</f>
        <v>0</v>
      </c>
      <c r="AI21" s="290">
        <f>IF(('Synthèse PER'!P21="A faire")*AND('Synthèse PER'!F21="Industrie"),'Synthèse PER'!J21,0)</f>
        <v>0</v>
      </c>
      <c r="AJ21" s="290">
        <f>IF(('Synthèse PER'!P21="A faire")*AND('Synthèse PER'!F21="Citoyen"),'Synthèse PER'!J21,0)</f>
        <v>0</v>
      </c>
      <c r="AK21" s="290">
        <f>IF(('Synthèse PER'!P21="A faire")*AND('Synthèse PER'!F21="IDELUX"),'Synthèse PER'!J21,0)</f>
        <v>0</v>
      </c>
      <c r="AL21" s="290">
        <f>IF(('Synthèse PER'!P21="A faire")*AND('Synthèse PER'!F21="AC MESSANCY"),'Synthèse PER'!J21,0)</f>
        <v>0</v>
      </c>
      <c r="AM21" s="290">
        <f>IF(('Synthèse PER'!P21="A faire")*AND('Synthèse PER'!F21="Tertiaire"),'Synthèse PER'!J21,0)</f>
        <v>0</v>
      </c>
      <c r="AN21" s="288"/>
      <c r="AO21" s="290">
        <f>IF(('Synthèse PER'!P21="A faire")*AND('Synthèse PER'!E21="Territoire"),'Synthèse PER'!H21,0)</f>
        <v>97410</v>
      </c>
      <c r="AP21" s="290">
        <f>IF(('Synthèse PER'!P21="A faire")*AND('Synthèse PER'!E21="Agriculture"),'Synthèse PER'!H21,0)</f>
        <v>0</v>
      </c>
      <c r="AQ21" s="290">
        <f>IF(('Synthèse PER'!P21="A faire")*AND('Synthèse PER'!E21="Industrie"),'Synthèse PER'!H21,0)</f>
        <v>0</v>
      </c>
      <c r="AR21" s="290">
        <f>IF(('Synthèse PER'!P21="A faire")*AND('Synthèse PER'!E21="Logement"),'Synthèse PER'!H21,0)</f>
        <v>0</v>
      </c>
      <c r="AS21" s="290">
        <f>IF(('Synthèse PER'!P21="A faire")*AND('Synthèse PER'!E21="Tertiaire"),'Synthèse PER'!H21,0)</f>
        <v>0</v>
      </c>
      <c r="AT21" s="290">
        <f>IF(('Synthèse PER'!P21="A faire")*AND('Synthèse PER'!E21="Transport"),'Synthèse PER'!H21,0)</f>
        <v>0</v>
      </c>
      <c r="AU21" s="290">
        <f>IF(('Synthèse PER'!P21="A faire")*AND('Synthèse PER'!E21="Communal"),'Synthèse PER'!H21,0)</f>
        <v>0</v>
      </c>
      <c r="AV21" s="288"/>
      <c r="AW21" s="290">
        <f>IF(('Synthèse PER'!P21="A faire")*AND('Synthèse PER'!E21="Territoire"),'Synthèse PER'!J21,0)</f>
        <v>0</v>
      </c>
      <c r="AX21" s="290">
        <f>IF(('Synthèse PER'!P21="A faire")*AND('Synthèse PER'!E21="Agriculture"),'Synthèse PER'!J21,0)</f>
        <v>0</v>
      </c>
      <c r="AY21" s="290">
        <f>IF(('Synthèse PER'!P21="A faire")*AND('Synthèse PER'!E21="Industrie"),'Synthèse PER'!J21,0)</f>
        <v>0</v>
      </c>
      <c r="AZ21" s="290">
        <f>IF(('Synthèse PER'!P21="A faire")*AND('Synthèse PER'!E21="Logement"),'Synthèse PER'!J21,0)</f>
        <v>0</v>
      </c>
      <c r="BA21" s="290">
        <f>IF(('Synthèse PER'!P21="A faire")*AND('Synthèse PER'!E21="Tertiaire"),'Synthèse PER'!J21,0)</f>
        <v>0</v>
      </c>
      <c r="BB21" s="290">
        <f>IF(('Synthèse PER'!P21="A faire")*AND('Synthèse PER'!E21="Transport"),'Synthèse PER'!J21,0)</f>
        <v>0</v>
      </c>
      <c r="BC21" s="290">
        <f>IF(('Synthèse PER'!P21="A faire")*AND('Synthèse PER'!E21="Communal"),'Synthèse PER'!J21,0)</f>
        <v>0</v>
      </c>
      <c r="BD21" s="288"/>
      <c r="BE21" s="290">
        <f>IF(('Synthèse PER'!P21="A faire")*AND('Synthèse PER'!E21="Territoire"),'Synthèse PER'!K21,0)</f>
        <v>1</v>
      </c>
      <c r="BF21" s="290">
        <f>IF(('Synthèse PER'!P21="A faire")*AND('Synthèse PER'!E21="Agriculture"),'Synthèse PER'!K21,0)</f>
        <v>0</v>
      </c>
      <c r="BG21" s="290">
        <f>IF(('Synthèse PER'!P21="A faire")*AND('Synthèse PER'!E21="Industrie"),'Synthèse PER'!K21,0)</f>
        <v>0</v>
      </c>
      <c r="BH21" s="290">
        <f>IF(('Synthèse PER'!P21="A faire")*AND('Synthèse PER'!E21="Logement"),'Synthèse PER'!K21,0)</f>
        <v>0</v>
      </c>
      <c r="BI21" s="290">
        <f>IF(('Synthèse PER'!P21="A faire")*AND('Synthèse PER'!E21="Tertiaire"),'Synthèse PER'!K21,0)</f>
        <v>0</v>
      </c>
      <c r="BJ21" s="290">
        <f>IF(('Synthèse PER'!P21="A faire")*AND('Synthèse PER'!E21="Transport"),'Synthèse PER'!K21,0)</f>
        <v>0</v>
      </c>
      <c r="BK21" s="290">
        <f>IF(('Synthèse PER'!P21="A faire")*AND('Synthèse PER'!E21="Communal"),'Synthèse PER'!K21,0)</f>
        <v>0</v>
      </c>
      <c r="BL21" s="288"/>
      <c r="BM21" s="290">
        <f>IF(('Synthèse PER'!P21="A faire")*AND('Synthèse PER'!E21="Territoire"),'Synthèse PER'!L21,0)</f>
        <v>0</v>
      </c>
      <c r="BN21" s="290">
        <f>IF(('Synthèse PER'!P21="A faire")*AND('Synthèse PER'!E21="Agriculture"),'Synthèse PER'!L21,0)</f>
        <v>0</v>
      </c>
      <c r="BO21" s="290">
        <f>IF(('Synthèse PER'!P21="A faire")*AND('Synthèse PER'!E21="Industrie"),'Synthèse PER'!L21,0)</f>
        <v>0</v>
      </c>
      <c r="BP21" s="290">
        <f>IF(('Synthèse PER'!P21="A faire")*AND('Synthèse PER'!E21="Logement"),'Synthèse PER'!L21,0)</f>
        <v>0</v>
      </c>
      <c r="BQ21" s="290">
        <f>IF(('Synthèse PER'!P21="A faire")*AND('Synthèse PER'!E21="Tertiaire"),'Synthèse PER'!L21,0)</f>
        <v>0</v>
      </c>
      <c r="BR21" s="290">
        <f>IF(('Synthèse PER'!P21="A faire")*AND('Synthèse PER'!E21="Transport"),'Synthèse PER'!L21,0)</f>
        <v>0</v>
      </c>
      <c r="BS21" s="290">
        <f>IF(('Synthèse PER'!P21="A faire")*AND('Synthèse PER'!E21="Communal"),'Synthèse PER'!L21,0)</f>
        <v>0</v>
      </c>
      <c r="BT21" s="290">
        <f>IF(('Synthèse PER'!Q21="A faire")*AND('Synthèse PER'!F21="Communal"),'Synthèse PER'!M21,0)</f>
        <v>0</v>
      </c>
    </row>
    <row r="22" spans="1:72" s="139" customFormat="1" x14ac:dyDescent="0.25">
      <c r="A22" s="370" t="s">
        <v>867</v>
      </c>
      <c r="B22" s="481" t="str">
        <f>'ADO-29'!B$3:E$3</f>
        <v>Mobilisation</v>
      </c>
      <c r="C22" s="419" t="str">
        <f>'ADO-29'!$B$8</f>
        <v>Personnel communal</v>
      </c>
      <c r="D22" s="133" t="str">
        <f>'ADO-29'!$B$9</f>
        <v xml:space="preserve">Actions URE </v>
      </c>
      <c r="E22" s="133" t="str">
        <f>'ADO-29'!$B$4</f>
        <v>Territoire</v>
      </c>
      <c r="F22" s="133" t="str">
        <f>'ADO-29'!$B$12</f>
        <v>AC MESSANCY</v>
      </c>
      <c r="G22" s="133" t="str">
        <f>'ADO-29'!$B$6</f>
        <v>Fonds propres</v>
      </c>
      <c r="H22" s="134">
        <f>'ADO-29'!$B$17</f>
        <v>2000</v>
      </c>
      <c r="I22" s="133" t="str">
        <f>'ADO-29'!$B$7</f>
        <v>Subs RW</v>
      </c>
      <c r="J22" s="134">
        <f>'ADO-28'!$B$18</f>
        <v>0</v>
      </c>
      <c r="K22" s="134">
        <f>'ADO-29'!$B$21</f>
        <v>279.60000000000002</v>
      </c>
      <c r="L22" s="134">
        <f>'ADO-29'!$B$22</f>
        <v>0</v>
      </c>
      <c r="M22" s="135">
        <f>'ADO-29'!$B$24</f>
        <v>7.1530758226037188</v>
      </c>
      <c r="N22" s="135">
        <f>'ADO-29'!$B$19/1000</f>
        <v>52.28</v>
      </c>
      <c r="O22" s="136">
        <f>IF(H22=0,0,N22/(H22-J22)*1000)</f>
        <v>26.14</v>
      </c>
      <c r="P22" s="137" t="str">
        <f>'ADO-29'!$B$5</f>
        <v>A faire</v>
      </c>
      <c r="Q22" s="140">
        <f>'ADO-29'!$B$16</f>
        <v>2030</v>
      </c>
      <c r="R22" s="283" t="str">
        <f>IF(P22="terminé", N22,"")</f>
        <v/>
      </c>
      <c r="S22" s="138">
        <f t="shared" si="9"/>
        <v>0</v>
      </c>
      <c r="T22" s="138">
        <f t="shared" si="10"/>
        <v>0</v>
      </c>
      <c r="U22" s="138">
        <f t="shared" si="11"/>
        <v>0</v>
      </c>
      <c r="V22" s="138">
        <f t="shared" si="12"/>
        <v>0</v>
      </c>
      <c r="W22" s="138">
        <f t="shared" si="13"/>
        <v>0</v>
      </c>
      <c r="X22" s="138">
        <f t="shared" si="14"/>
        <v>0</v>
      </c>
      <c r="Y22" s="138">
        <f t="shared" si="15"/>
        <v>0</v>
      </c>
      <c r="AA22" s="287">
        <f>IF(('Synthèse PER'!P22="A faire")*AND('Synthèse PER'!F22="Agriculture"),'Synthèse PER'!H22,0)</f>
        <v>0</v>
      </c>
      <c r="AB22" s="287">
        <f>IF(('Synthèse PER'!P22="A faire")*AND('Synthèse PER'!F22="Industrie"),'Synthèse PER'!H22,0)</f>
        <v>0</v>
      </c>
      <c r="AC22" s="287">
        <f>IF(('Synthèse PER'!P22="A faire")*AND('Synthèse PER'!F22="Citoyen"),'Synthèse PER'!H22,0)</f>
        <v>0</v>
      </c>
      <c r="AD22" s="287">
        <f>IF(('Synthèse PER'!P22="A faire")*AND('Synthèse PER'!F22="IDELUX"),'Synthèse PER'!H22,0)</f>
        <v>0</v>
      </c>
      <c r="AE22" s="290">
        <f>IF(('Synthèse PER'!P22="A faire")*AND('Synthèse PER'!F22="AC MESSANCY"),'Synthèse PER'!H22,0)</f>
        <v>2000</v>
      </c>
      <c r="AF22" s="287">
        <f>IF(('Synthèse PER'!P22="A faire")*AND('Synthèse PER'!F22="Tertiaire"),'Synthèse PER'!H22,0)</f>
        <v>0</v>
      </c>
      <c r="AG22" s="288"/>
      <c r="AH22" s="290">
        <f>IF(('Synthèse PER'!P22="A faire")*AND('Synthèse PER'!F22="Agriculture"),'Synthèse PER'!J22,0)</f>
        <v>0</v>
      </c>
      <c r="AI22" s="290">
        <f>IF(('Synthèse PER'!P22="A faire")*AND('Synthèse PER'!F22="Industrie"),'Synthèse PER'!J22,0)</f>
        <v>0</v>
      </c>
      <c r="AJ22" s="290">
        <f>IF(('Synthèse PER'!P22="A faire")*AND('Synthèse PER'!F22="Citoyen"),'Synthèse PER'!J22,0)</f>
        <v>0</v>
      </c>
      <c r="AK22" s="290">
        <f>IF(('Synthèse PER'!P22="A faire")*AND('Synthèse PER'!F22="IDELUX"),'Synthèse PER'!J22,0)</f>
        <v>0</v>
      </c>
      <c r="AL22" s="290">
        <f>IF(('Synthèse PER'!P22="A faire")*AND('Synthèse PER'!F22="AC MESSANCY"),'Synthèse PER'!J22,0)</f>
        <v>0</v>
      </c>
      <c r="AM22" s="290">
        <f>IF(('Synthèse PER'!P22="A faire")*AND('Synthèse PER'!F22="Tertiaire"),'Synthèse PER'!J22,0)</f>
        <v>0</v>
      </c>
      <c r="AN22" s="288"/>
      <c r="AO22" s="290">
        <f>IF(('Synthèse PER'!P22="A faire")*AND('Synthèse PER'!E22="Territoire"),'Synthèse PER'!H22,0)</f>
        <v>2000</v>
      </c>
      <c r="AP22" s="290">
        <f>IF(('Synthèse PER'!P22="A faire")*AND('Synthèse PER'!E22="Agriculture"),'Synthèse PER'!H22,0)</f>
        <v>0</v>
      </c>
      <c r="AQ22" s="290">
        <f>IF(('Synthèse PER'!P22="A faire")*AND('Synthèse PER'!E22="Industrie"),'Synthèse PER'!H22,0)</f>
        <v>0</v>
      </c>
      <c r="AR22" s="290">
        <f>IF(('Synthèse PER'!P22="A faire")*AND('Synthèse PER'!E22="Logement"),'Synthèse PER'!H22,0)</f>
        <v>0</v>
      </c>
      <c r="AS22" s="290">
        <f>IF(('Synthèse PER'!P22="A faire")*AND('Synthèse PER'!E22="Tertiaire"),'Synthèse PER'!H22,0)</f>
        <v>0</v>
      </c>
      <c r="AT22" s="290">
        <f>IF(('Synthèse PER'!P22="A faire")*AND('Synthèse PER'!E22="Transport"),'Synthèse PER'!H22,0)</f>
        <v>0</v>
      </c>
      <c r="AU22" s="290">
        <f>IF(('Synthèse PER'!P22="A faire")*AND('Synthèse PER'!E22="Communal"),'Synthèse PER'!H22,0)</f>
        <v>0</v>
      </c>
      <c r="AV22" s="288"/>
      <c r="AW22" s="290">
        <f>IF(('Synthèse PER'!P22="A faire")*AND('Synthèse PER'!E22="Territoire"),'Synthèse PER'!J22,0)</f>
        <v>0</v>
      </c>
      <c r="AX22" s="290">
        <f>IF(('Synthèse PER'!P22="A faire")*AND('Synthèse PER'!E22="Agriculture"),'Synthèse PER'!J22,0)</f>
        <v>0</v>
      </c>
      <c r="AY22" s="290">
        <f>IF(('Synthèse PER'!P22="A faire")*AND('Synthèse PER'!E22="Industrie"),'Synthèse PER'!J22,0)</f>
        <v>0</v>
      </c>
      <c r="AZ22" s="290">
        <f>IF(('Synthèse PER'!P22="A faire")*AND('Synthèse PER'!E22="Logement"),'Synthèse PER'!J22,0)</f>
        <v>0</v>
      </c>
      <c r="BA22" s="290">
        <f>IF(('Synthèse PER'!P22="A faire")*AND('Synthèse PER'!E22="Tertiaire"),'Synthèse PER'!J22,0)</f>
        <v>0</v>
      </c>
      <c r="BB22" s="290">
        <f>IF(('Synthèse PER'!P22="A faire")*AND('Synthèse PER'!E22="Transport"),'Synthèse PER'!J22,0)</f>
        <v>0</v>
      </c>
      <c r="BC22" s="290">
        <f>IF(('Synthèse PER'!P22="A faire")*AND('Synthèse PER'!E22="Communal"),'Synthèse PER'!J22,0)</f>
        <v>0</v>
      </c>
      <c r="BD22" s="288"/>
      <c r="BE22" s="290">
        <f>IF(('Synthèse PER'!P22="A faire")*AND('Synthèse PER'!E22="Territoire"),'Synthèse PER'!K22,0)</f>
        <v>279.60000000000002</v>
      </c>
      <c r="BF22" s="290">
        <f>IF(('Synthèse PER'!P22="A faire")*AND('Synthèse PER'!E22="Agriculture"),'Synthèse PER'!K22,0)</f>
        <v>0</v>
      </c>
      <c r="BG22" s="290">
        <f>IF(('Synthèse PER'!P22="A faire")*AND('Synthèse PER'!E22="Industrie"),'Synthèse PER'!K22,0)</f>
        <v>0</v>
      </c>
      <c r="BH22" s="290">
        <f>IF(('Synthèse PER'!P22="A faire")*AND('Synthèse PER'!E22="Logement"),'Synthèse PER'!K22,0)</f>
        <v>0</v>
      </c>
      <c r="BI22" s="290">
        <f>IF(('Synthèse PER'!P22="A faire")*AND('Synthèse PER'!E22="Tertiaire"),'Synthèse PER'!K22,0)</f>
        <v>0</v>
      </c>
      <c r="BJ22" s="290">
        <f>IF(('Synthèse PER'!P22="A faire")*AND('Synthèse PER'!E22="Transport"),'Synthèse PER'!K22,0)</f>
        <v>0</v>
      </c>
      <c r="BK22" s="290">
        <f>IF(('Synthèse PER'!P22="A faire")*AND('Synthèse PER'!E22="Communal"),'Synthèse PER'!K22,0)</f>
        <v>0</v>
      </c>
      <c r="BL22" s="288"/>
      <c r="BM22" s="290">
        <f>IF(('Synthèse PER'!P22="A faire")*AND('Synthèse PER'!E22="Territoire"),'Synthèse PER'!L22,0)</f>
        <v>0</v>
      </c>
      <c r="BN22" s="290">
        <f>IF(('Synthèse PER'!P22="A faire")*AND('Synthèse PER'!E22="Agriculture"),'Synthèse PER'!L22,0)</f>
        <v>0</v>
      </c>
      <c r="BO22" s="290">
        <f>IF(('Synthèse PER'!P22="A faire")*AND('Synthèse PER'!E22="Industrie"),'Synthèse PER'!L22,0)</f>
        <v>0</v>
      </c>
      <c r="BP22" s="290">
        <f>IF(('Synthèse PER'!P22="A faire")*AND('Synthèse PER'!E22="Logement"),'Synthèse PER'!L22,0)</f>
        <v>0</v>
      </c>
      <c r="BQ22" s="290">
        <f>IF(('Synthèse PER'!P22="A faire")*AND('Synthèse PER'!E22="Tertiaire"),'Synthèse PER'!L22,0)</f>
        <v>0</v>
      </c>
      <c r="BR22" s="290">
        <f>IF(('Synthèse PER'!P22="A faire")*AND('Synthèse PER'!E22="Transport"),'Synthèse PER'!L22,0)</f>
        <v>0</v>
      </c>
      <c r="BS22" s="290">
        <f>IF(('Synthèse PER'!P22="A faire")*AND('Synthèse PER'!E22="Communal"),'Synthèse PER'!L22,0)</f>
        <v>0</v>
      </c>
      <c r="BT22" s="290">
        <f>IF(('Synthèse PER'!Q22="A faire")*AND('Synthèse PER'!F22="Communal"),'Synthèse PER'!M22,0)</f>
        <v>0</v>
      </c>
    </row>
    <row r="23" spans="1:72" s="139" customFormat="1" x14ac:dyDescent="0.25">
      <c r="A23" s="370" t="s">
        <v>868</v>
      </c>
      <c r="B23" s="481" t="str">
        <f>'ADO-30'!B$3:E$3</f>
        <v>Mobilisation</v>
      </c>
      <c r="C23" s="419" t="str">
        <f>'ADO-30'!$B$8</f>
        <v>Grand public</v>
      </c>
      <c r="D23" s="133" t="str">
        <f>'ADO-30'!$B$9</f>
        <v xml:space="preserve">Groupes pilotes </v>
      </c>
      <c r="E23" s="133" t="str">
        <f>'ADO-30'!$B$4</f>
        <v>Territoire</v>
      </c>
      <c r="F23" s="133" t="str">
        <f>'ADO-30'!$B$12</f>
        <v>AC MESSANCY</v>
      </c>
      <c r="G23" s="133" t="str">
        <f>'ADO-30'!$B$6</f>
        <v>Fonds propres</v>
      </c>
      <c r="H23" s="134">
        <f>'ADO-30'!$B$17</f>
        <v>2000</v>
      </c>
      <c r="I23" s="133" t="str">
        <f>'ADO-30'!$B$7</f>
        <v>Subs RW</v>
      </c>
      <c r="J23" s="134">
        <f>'ADO-30'!$B$18</f>
        <v>0</v>
      </c>
      <c r="K23" s="134">
        <f>'ADO-30'!$B$21</f>
        <v>1</v>
      </c>
      <c r="L23" s="134">
        <f>'ADO-30'!$B$22</f>
        <v>0</v>
      </c>
      <c r="M23" s="135">
        <f>'ADO-30'!$B$24</f>
        <v>2000</v>
      </c>
      <c r="N23" s="135">
        <f>'ADO-30'!$B$19/1000</f>
        <v>0</v>
      </c>
      <c r="O23" s="136">
        <f>IF(H23=0,0,N23/(H23-J23)*1000)</f>
        <v>0</v>
      </c>
      <c r="P23" s="137" t="str">
        <f>'ADO-30'!$B$5</f>
        <v>A faire</v>
      </c>
      <c r="Q23" s="140">
        <f>'ADO-30'!$B$16</f>
        <v>2021</v>
      </c>
      <c r="R23" s="283" t="str">
        <f>IF(P23="terminé", N23,"")</f>
        <v/>
      </c>
      <c r="S23" s="138">
        <f t="shared" si="9"/>
        <v>0</v>
      </c>
      <c r="T23" s="138">
        <f t="shared" si="10"/>
        <v>0</v>
      </c>
      <c r="U23" s="138">
        <f t="shared" si="11"/>
        <v>0</v>
      </c>
      <c r="V23" s="138">
        <f t="shared" si="12"/>
        <v>0</v>
      </c>
      <c r="W23" s="138">
        <f t="shared" si="13"/>
        <v>0</v>
      </c>
      <c r="X23" s="138">
        <f t="shared" si="14"/>
        <v>0</v>
      </c>
      <c r="Y23" s="138">
        <f t="shared" si="15"/>
        <v>0</v>
      </c>
      <c r="AA23" s="287">
        <f>IF(('Synthèse PER'!P23="A faire")*AND('Synthèse PER'!F23="Agriculture"),'Synthèse PER'!H23,0)</f>
        <v>0</v>
      </c>
      <c r="AB23" s="287">
        <f>IF(('Synthèse PER'!P23="A faire")*AND('Synthèse PER'!F23="Industrie"),'Synthèse PER'!H23,0)</f>
        <v>0</v>
      </c>
      <c r="AC23" s="287">
        <f>IF(('Synthèse PER'!P23="A faire")*AND('Synthèse PER'!F23="Citoyen"),'Synthèse PER'!H23,0)</f>
        <v>0</v>
      </c>
      <c r="AD23" s="287">
        <f>IF(('Synthèse PER'!P23="A faire")*AND('Synthèse PER'!F23="IDELUX"),'Synthèse PER'!H23,0)</f>
        <v>0</v>
      </c>
      <c r="AE23" s="290">
        <f>IF(('Synthèse PER'!P23="A faire")*AND('Synthèse PER'!F23="AC MESSANCY"),'Synthèse PER'!H23,0)</f>
        <v>2000</v>
      </c>
      <c r="AF23" s="287">
        <f>IF(('Synthèse PER'!P23="A faire")*AND('Synthèse PER'!F23="Tertiaire"),'Synthèse PER'!H23,0)</f>
        <v>0</v>
      </c>
      <c r="AG23" s="288"/>
      <c r="AH23" s="290">
        <f>IF(('Synthèse PER'!P23="A faire")*AND('Synthèse PER'!F23="Agriculture"),'Synthèse PER'!J23,0)</f>
        <v>0</v>
      </c>
      <c r="AI23" s="290">
        <f>IF(('Synthèse PER'!P23="A faire")*AND('Synthèse PER'!F23="Industrie"),'Synthèse PER'!J23,0)</f>
        <v>0</v>
      </c>
      <c r="AJ23" s="290">
        <f>IF(('Synthèse PER'!P23="A faire")*AND('Synthèse PER'!F23="Citoyen"),'Synthèse PER'!J23,0)</f>
        <v>0</v>
      </c>
      <c r="AK23" s="290">
        <f>IF(('Synthèse PER'!P23="A faire")*AND('Synthèse PER'!F23="IDELUX"),'Synthèse PER'!J23,0)</f>
        <v>0</v>
      </c>
      <c r="AL23" s="290">
        <f>IF(('Synthèse PER'!P23="A faire")*AND('Synthèse PER'!F23="AC MESSANCY"),'Synthèse PER'!J23,0)</f>
        <v>0</v>
      </c>
      <c r="AM23" s="290">
        <f>IF(('Synthèse PER'!P23="A faire")*AND('Synthèse PER'!F23="Tertiaire"),'Synthèse PER'!J23,0)</f>
        <v>0</v>
      </c>
      <c r="AN23" s="288"/>
      <c r="AO23" s="290">
        <f>IF(('Synthèse PER'!P23="A faire")*AND('Synthèse PER'!E23="Territoire"),'Synthèse PER'!H23,0)</f>
        <v>2000</v>
      </c>
      <c r="AP23" s="290">
        <f>IF(('Synthèse PER'!P23="A faire")*AND('Synthèse PER'!E23="Agriculture"),'Synthèse PER'!H23,0)</f>
        <v>0</v>
      </c>
      <c r="AQ23" s="290">
        <f>IF(('Synthèse PER'!P23="A faire")*AND('Synthèse PER'!E23="Industrie"),'Synthèse PER'!H23,0)</f>
        <v>0</v>
      </c>
      <c r="AR23" s="290">
        <f>IF(('Synthèse PER'!P23="A faire")*AND('Synthèse PER'!E23="Logement"),'Synthèse PER'!H23,0)</f>
        <v>0</v>
      </c>
      <c r="AS23" s="290">
        <f>IF(('Synthèse PER'!P23="A faire")*AND('Synthèse PER'!E23="Tertiaire"),'Synthèse PER'!H23,0)</f>
        <v>0</v>
      </c>
      <c r="AT23" s="290">
        <f>IF(('Synthèse PER'!P23="A faire")*AND('Synthèse PER'!E23="Transport"),'Synthèse PER'!H23,0)</f>
        <v>0</v>
      </c>
      <c r="AU23" s="290">
        <f>IF(('Synthèse PER'!P23="A faire")*AND('Synthèse PER'!E23="Communal"),'Synthèse PER'!H23,0)</f>
        <v>0</v>
      </c>
      <c r="AV23" s="288"/>
      <c r="AW23" s="290">
        <f>IF(('Synthèse PER'!P23="A faire")*AND('Synthèse PER'!E23="Territoire"),'Synthèse PER'!J23,0)</f>
        <v>0</v>
      </c>
      <c r="AX23" s="290">
        <f>IF(('Synthèse PER'!P23="A faire")*AND('Synthèse PER'!E23="Agriculture"),'Synthèse PER'!J23,0)</f>
        <v>0</v>
      </c>
      <c r="AY23" s="290">
        <f>IF(('Synthèse PER'!P23="A faire")*AND('Synthèse PER'!E23="Industrie"),'Synthèse PER'!J23,0)</f>
        <v>0</v>
      </c>
      <c r="AZ23" s="290">
        <f>IF(('Synthèse PER'!P23="A faire")*AND('Synthèse PER'!E23="Logement"),'Synthèse PER'!J23,0)</f>
        <v>0</v>
      </c>
      <c r="BA23" s="290">
        <f>IF(('Synthèse PER'!P23="A faire")*AND('Synthèse PER'!E23="Tertiaire"),'Synthèse PER'!J23,0)</f>
        <v>0</v>
      </c>
      <c r="BB23" s="290">
        <f>IF(('Synthèse PER'!P23="A faire")*AND('Synthèse PER'!E23="Transport"),'Synthèse PER'!J23,0)</f>
        <v>0</v>
      </c>
      <c r="BC23" s="290">
        <f>IF(('Synthèse PER'!P23="A faire")*AND('Synthèse PER'!E23="Communal"),'Synthèse PER'!J23,0)</f>
        <v>0</v>
      </c>
      <c r="BD23" s="288"/>
      <c r="BE23" s="290">
        <f>IF(('Synthèse PER'!P23="A faire")*AND('Synthèse PER'!E23="Territoire"),'Synthèse PER'!K23,0)</f>
        <v>1</v>
      </c>
      <c r="BF23" s="290">
        <f>IF(('Synthèse PER'!P23="A faire")*AND('Synthèse PER'!E23="Agriculture"),'Synthèse PER'!K23,0)</f>
        <v>0</v>
      </c>
      <c r="BG23" s="290">
        <f>IF(('Synthèse PER'!P23="A faire")*AND('Synthèse PER'!E23="Industrie"),'Synthèse PER'!K23,0)</f>
        <v>0</v>
      </c>
      <c r="BH23" s="290">
        <f>IF(('Synthèse PER'!P23="A faire")*AND('Synthèse PER'!E23="Logement"),'Synthèse PER'!K23,0)</f>
        <v>0</v>
      </c>
      <c r="BI23" s="290">
        <f>IF(('Synthèse PER'!P23="A faire")*AND('Synthèse PER'!E23="Tertiaire"),'Synthèse PER'!K23,0)</f>
        <v>0</v>
      </c>
      <c r="BJ23" s="290">
        <f>IF(('Synthèse PER'!P23="A faire")*AND('Synthèse PER'!E23="Transport"),'Synthèse PER'!K23,0)</f>
        <v>0</v>
      </c>
      <c r="BK23" s="290">
        <f>IF(('Synthèse PER'!P23="A faire")*AND('Synthèse PER'!E23="Communal"),'Synthèse PER'!K23,0)</f>
        <v>0</v>
      </c>
      <c r="BL23" s="288"/>
      <c r="BM23" s="290">
        <f>IF(('Synthèse PER'!P23="A faire")*AND('Synthèse PER'!E23="Territoire"),'Synthèse PER'!L23,0)</f>
        <v>0</v>
      </c>
      <c r="BN23" s="290">
        <f>IF(('Synthèse PER'!P23="A faire")*AND('Synthèse PER'!E23="Agriculture"),'Synthèse PER'!L23,0)</f>
        <v>0</v>
      </c>
      <c r="BO23" s="290">
        <f>IF(('Synthèse PER'!P23="A faire")*AND('Synthèse PER'!E23="Industrie"),'Synthèse PER'!L23,0)</f>
        <v>0</v>
      </c>
      <c r="BP23" s="290">
        <f>IF(('Synthèse PER'!P23="A faire")*AND('Synthèse PER'!E23="Logement"),'Synthèse PER'!L23,0)</f>
        <v>0</v>
      </c>
      <c r="BQ23" s="290">
        <f>IF(('Synthèse PER'!P23="A faire")*AND('Synthèse PER'!E23="Tertiaire"),'Synthèse PER'!L23,0)</f>
        <v>0</v>
      </c>
      <c r="BR23" s="290">
        <f>IF(('Synthèse PER'!P23="A faire")*AND('Synthèse PER'!E23="Transport"),'Synthèse PER'!L23,0)</f>
        <v>0</v>
      </c>
      <c r="BS23" s="290">
        <f>IF(('Synthèse PER'!P23="A faire")*AND('Synthèse PER'!E23="Communal"),'Synthèse PER'!L23,0)</f>
        <v>0</v>
      </c>
      <c r="BT23" s="290">
        <f>IF(('Synthèse PER'!Q23="A faire")*AND('Synthèse PER'!F23="Communal"),'Synthèse PER'!M23,0)</f>
        <v>0</v>
      </c>
    </row>
    <row r="24" spans="1:72" s="139" customFormat="1" x14ac:dyDescent="0.25">
      <c r="A24" s="370" t="s">
        <v>869</v>
      </c>
      <c r="B24" s="481" t="str">
        <f>'ADO-31'!B$3:E$3</f>
        <v>Mobilisation</v>
      </c>
      <c r="C24" s="419">
        <f>'ADO-31'!$B$8</f>
        <v>0</v>
      </c>
      <c r="D24" s="133">
        <f>'ADO-31'!$B$9</f>
        <v>0</v>
      </c>
      <c r="E24" s="133" t="str">
        <f>'ADO-31'!$B$4</f>
        <v>Territoire</v>
      </c>
      <c r="F24" s="133">
        <f>'ADO-31'!$B$12</f>
        <v>0</v>
      </c>
      <c r="G24" s="133" t="str">
        <f>'ADO-31'!$B$6</f>
        <v>Néant</v>
      </c>
      <c r="H24" s="134">
        <f>'ADO-31'!$B$17</f>
        <v>0</v>
      </c>
      <c r="I24" s="133" t="str">
        <f>'ADO-31'!$B$7</f>
        <v>Néant</v>
      </c>
      <c r="J24" s="134">
        <f>'ADO-31'!$B$18</f>
        <v>0</v>
      </c>
      <c r="K24" s="134">
        <f>'ADO-31'!$B$21</f>
        <v>1</v>
      </c>
      <c r="L24" s="134">
        <f>'ADO-31'!$B$22</f>
        <v>0</v>
      </c>
      <c r="M24" s="135">
        <f>'ADO-31'!$B$24</f>
        <v>0</v>
      </c>
      <c r="N24" s="135">
        <f>'ADO-31'!$B$19/1000</f>
        <v>0</v>
      </c>
      <c r="O24" s="136">
        <f>IF(H24=0,0,N24/(H24-J24)*1000)</f>
        <v>0</v>
      </c>
      <c r="P24" s="137" t="str">
        <f>'ADO-31'!$B$5</f>
        <v>Ne pas réaliser</v>
      </c>
      <c r="Q24" s="140">
        <f>'ADO-31'!$B$16</f>
        <v>0</v>
      </c>
      <c r="R24" s="283" t="str">
        <f>IF(P24="terminé", N24,"")</f>
        <v/>
      </c>
      <c r="S24" s="138">
        <f t="shared" si="9"/>
        <v>0</v>
      </c>
      <c r="T24" s="138">
        <f t="shared" si="10"/>
        <v>0</v>
      </c>
      <c r="U24" s="138">
        <f t="shared" si="11"/>
        <v>0</v>
      </c>
      <c r="V24" s="138">
        <f t="shared" si="12"/>
        <v>0</v>
      </c>
      <c r="W24" s="138">
        <f t="shared" si="13"/>
        <v>0</v>
      </c>
      <c r="X24" s="138">
        <f t="shared" si="14"/>
        <v>0</v>
      </c>
      <c r="Y24" s="138">
        <f t="shared" si="15"/>
        <v>0</v>
      </c>
      <c r="AA24" s="287">
        <f>IF(('Synthèse PER'!P24="A faire")*AND('Synthèse PER'!F24="Agriculture"),'Synthèse PER'!H24,0)</f>
        <v>0</v>
      </c>
      <c r="AB24" s="287">
        <f>IF(('Synthèse PER'!P24="A faire")*AND('Synthèse PER'!F24="Industrie"),'Synthèse PER'!H24,0)</f>
        <v>0</v>
      </c>
      <c r="AC24" s="287">
        <f>IF(('Synthèse PER'!P24="A faire")*AND('Synthèse PER'!F24="Citoyen"),'Synthèse PER'!H24,0)</f>
        <v>0</v>
      </c>
      <c r="AD24" s="287">
        <f>IF(('Synthèse PER'!P24="A faire")*AND('Synthèse PER'!F24="IDELUX"),'Synthèse PER'!H24,0)</f>
        <v>0</v>
      </c>
      <c r="AE24" s="290">
        <f>IF(('Synthèse PER'!P24="A faire")*AND('Synthèse PER'!F24="AC MESSANCY"),'Synthèse PER'!H24,0)</f>
        <v>0</v>
      </c>
      <c r="AF24" s="287">
        <f>IF(('Synthèse PER'!P24="A faire")*AND('Synthèse PER'!F24="Tertiaire"),'Synthèse PER'!H24,0)</f>
        <v>0</v>
      </c>
      <c r="AG24" s="288"/>
      <c r="AH24" s="290">
        <f>IF(('Synthèse PER'!P24="A faire")*AND('Synthèse PER'!F24="Agriculture"),'Synthèse PER'!J24,0)</f>
        <v>0</v>
      </c>
      <c r="AI24" s="290">
        <f>IF(('Synthèse PER'!P24="A faire")*AND('Synthèse PER'!F24="Industrie"),'Synthèse PER'!J24,0)</f>
        <v>0</v>
      </c>
      <c r="AJ24" s="290">
        <f>IF(('Synthèse PER'!P24="A faire")*AND('Synthèse PER'!F24="Citoyen"),'Synthèse PER'!J24,0)</f>
        <v>0</v>
      </c>
      <c r="AK24" s="290">
        <f>IF(('Synthèse PER'!P24="A faire")*AND('Synthèse PER'!F24="IDELUX"),'Synthèse PER'!J24,0)</f>
        <v>0</v>
      </c>
      <c r="AL24" s="290">
        <f>IF(('Synthèse PER'!P24="A faire")*AND('Synthèse PER'!F24="AC MESSANCY"),'Synthèse PER'!J24,0)</f>
        <v>0</v>
      </c>
      <c r="AM24" s="290">
        <f>IF(('Synthèse PER'!P24="A faire")*AND('Synthèse PER'!F24="Tertiaire"),'Synthèse PER'!J24,0)</f>
        <v>0</v>
      </c>
      <c r="AN24" s="288"/>
      <c r="AO24" s="290">
        <f>IF(('Synthèse PER'!P24="A faire")*AND('Synthèse PER'!E24="Territoire"),'Synthèse PER'!H24,0)</f>
        <v>0</v>
      </c>
      <c r="AP24" s="290">
        <f>IF(('Synthèse PER'!P24="A faire")*AND('Synthèse PER'!E24="Agriculture"),'Synthèse PER'!H24,0)</f>
        <v>0</v>
      </c>
      <c r="AQ24" s="290">
        <f>IF(('Synthèse PER'!P24="A faire")*AND('Synthèse PER'!E24="Industrie"),'Synthèse PER'!H24,0)</f>
        <v>0</v>
      </c>
      <c r="AR24" s="290">
        <f>IF(('Synthèse PER'!P24="A faire")*AND('Synthèse PER'!E24="Logement"),'Synthèse PER'!H24,0)</f>
        <v>0</v>
      </c>
      <c r="AS24" s="290">
        <f>IF(('Synthèse PER'!P24="A faire")*AND('Synthèse PER'!E24="Tertiaire"),'Synthèse PER'!H24,0)</f>
        <v>0</v>
      </c>
      <c r="AT24" s="290">
        <f>IF(('Synthèse PER'!P24="A faire")*AND('Synthèse PER'!E24="Transport"),'Synthèse PER'!H24,0)</f>
        <v>0</v>
      </c>
      <c r="AU24" s="290">
        <f>IF(('Synthèse PER'!P24="A faire")*AND('Synthèse PER'!E24="Communal"),'Synthèse PER'!H24,0)</f>
        <v>0</v>
      </c>
      <c r="AV24" s="288"/>
      <c r="AW24" s="290">
        <f>IF(('Synthèse PER'!P24="A faire")*AND('Synthèse PER'!E24="Territoire"),'Synthèse PER'!J24,0)</f>
        <v>0</v>
      </c>
      <c r="AX24" s="290">
        <f>IF(('Synthèse PER'!P24="A faire")*AND('Synthèse PER'!E24="Agriculture"),'Synthèse PER'!J24,0)</f>
        <v>0</v>
      </c>
      <c r="AY24" s="290">
        <f>IF(('Synthèse PER'!P24="A faire")*AND('Synthèse PER'!E24="Industrie"),'Synthèse PER'!J24,0)</f>
        <v>0</v>
      </c>
      <c r="AZ24" s="290">
        <f>IF(('Synthèse PER'!P24="A faire")*AND('Synthèse PER'!E24="Logement"),'Synthèse PER'!J24,0)</f>
        <v>0</v>
      </c>
      <c r="BA24" s="290">
        <f>IF(('Synthèse PER'!P24="A faire")*AND('Synthèse PER'!E24="Tertiaire"),'Synthèse PER'!J24,0)</f>
        <v>0</v>
      </c>
      <c r="BB24" s="290">
        <f>IF(('Synthèse PER'!P24="A faire")*AND('Synthèse PER'!E24="Transport"),'Synthèse PER'!J24,0)</f>
        <v>0</v>
      </c>
      <c r="BC24" s="290">
        <f>IF(('Synthèse PER'!P24="A faire")*AND('Synthèse PER'!E24="Communal"),'Synthèse PER'!J24,0)</f>
        <v>0</v>
      </c>
      <c r="BD24" s="288"/>
      <c r="BE24" s="290">
        <f>IF(('Synthèse PER'!P24="A faire")*AND('Synthèse PER'!E24="Territoire"),'Synthèse PER'!K24,0)</f>
        <v>0</v>
      </c>
      <c r="BF24" s="290">
        <f>IF(('Synthèse PER'!P24="A faire")*AND('Synthèse PER'!E24="Agriculture"),'Synthèse PER'!K24,0)</f>
        <v>0</v>
      </c>
      <c r="BG24" s="290">
        <f>IF(('Synthèse PER'!P24="A faire")*AND('Synthèse PER'!E24="Industrie"),'Synthèse PER'!K24,0)</f>
        <v>0</v>
      </c>
      <c r="BH24" s="290">
        <f>IF(('Synthèse PER'!P24="A faire")*AND('Synthèse PER'!E24="Logement"),'Synthèse PER'!K24,0)</f>
        <v>0</v>
      </c>
      <c r="BI24" s="290">
        <f>IF(('Synthèse PER'!P24="A faire")*AND('Synthèse PER'!E24="Tertiaire"),'Synthèse PER'!K24,0)</f>
        <v>0</v>
      </c>
      <c r="BJ24" s="290">
        <f>IF(('Synthèse PER'!P24="A faire")*AND('Synthèse PER'!E24="Transport"),'Synthèse PER'!K24,0)</f>
        <v>0</v>
      </c>
      <c r="BK24" s="290">
        <f>IF(('Synthèse PER'!P24="A faire")*AND('Synthèse PER'!E24="Communal"),'Synthèse PER'!K24,0)</f>
        <v>0</v>
      </c>
      <c r="BL24" s="288"/>
      <c r="BM24" s="290">
        <f>IF(('Synthèse PER'!P24="A faire")*AND('Synthèse PER'!E24="Territoire"),'Synthèse PER'!L24,0)</f>
        <v>0</v>
      </c>
      <c r="BN24" s="290">
        <f>IF(('Synthèse PER'!P24="A faire")*AND('Synthèse PER'!E24="Agriculture"),'Synthèse PER'!L24,0)</f>
        <v>0</v>
      </c>
      <c r="BO24" s="290">
        <f>IF(('Synthèse PER'!P24="A faire")*AND('Synthèse PER'!E24="Industrie"),'Synthèse PER'!L24,0)</f>
        <v>0</v>
      </c>
      <c r="BP24" s="290">
        <f>IF(('Synthèse PER'!P24="A faire")*AND('Synthèse PER'!E24="Logement"),'Synthèse PER'!L24,0)</f>
        <v>0</v>
      </c>
      <c r="BQ24" s="290">
        <f>IF(('Synthèse PER'!P24="A faire")*AND('Synthèse PER'!E24="Tertiaire"),'Synthèse PER'!L24,0)</f>
        <v>0</v>
      </c>
      <c r="BR24" s="290">
        <f>IF(('Synthèse PER'!P24="A faire")*AND('Synthèse PER'!E24="Transport"),'Synthèse PER'!L24,0)</f>
        <v>0</v>
      </c>
      <c r="BS24" s="290">
        <f>IF(('Synthèse PER'!P24="A faire")*AND('Synthèse PER'!E24="Communal"),'Synthèse PER'!L24,0)</f>
        <v>0</v>
      </c>
      <c r="BT24" s="290">
        <f>IF(('Synthèse PER'!Q24="A faire")*AND('Synthèse PER'!F24="Communal"),'Synthèse PER'!M24,0)</f>
        <v>0</v>
      </c>
    </row>
    <row r="25" spans="1:72" s="139" customFormat="1" x14ac:dyDescent="0.25">
      <c r="A25" s="370" t="s">
        <v>870</v>
      </c>
      <c r="B25" s="481" t="str">
        <f>'ADO-32'!B$3:E$3</f>
        <v>Mobilisation</v>
      </c>
      <c r="C25" s="419" t="str">
        <f>'ADO-32'!$B$8</f>
        <v>Logement</v>
      </c>
      <c r="D25" s="133" t="str">
        <f>'ADO-32'!$B$9</f>
        <v>Renov'Energie</v>
      </c>
      <c r="E25" s="133" t="str">
        <f>'ADO-32'!$B$4</f>
        <v>Territoire</v>
      </c>
      <c r="F25" s="133" t="str">
        <f>'ADO-32'!$B$12</f>
        <v>AC MESSANCY</v>
      </c>
      <c r="G25" s="133" t="str">
        <f>'ADO-32'!$B$6</f>
        <v>Fonds propres</v>
      </c>
      <c r="H25" s="134">
        <f>'ADO-32'!$B$17</f>
        <v>27000</v>
      </c>
      <c r="I25" s="133" t="str">
        <f>'ADO-32'!$B$7</f>
        <v>Néant</v>
      </c>
      <c r="J25" s="134">
        <f>'ADO-32'!$B$18</f>
        <v>0</v>
      </c>
      <c r="K25" s="134">
        <f>'ADO-32'!$B$21</f>
        <v>1</v>
      </c>
      <c r="L25" s="134">
        <f>'ADO-32'!$B$22</f>
        <v>0</v>
      </c>
      <c r="M25" s="135">
        <f>'ADO-32'!$B$24</f>
        <v>27000</v>
      </c>
      <c r="N25" s="135">
        <f>'ADO-32'!$B$19/1000</f>
        <v>0</v>
      </c>
      <c r="O25" s="136">
        <f>IF(H25=0,0,N25/(H25-J25)*1000)</f>
        <v>0</v>
      </c>
      <c r="P25" s="137" t="str">
        <f>'ADO-32'!$B$5</f>
        <v>A faire</v>
      </c>
      <c r="Q25" s="140">
        <f>'ADO-32'!$B$16</f>
        <v>2023</v>
      </c>
      <c r="R25" s="283" t="str">
        <f>IF(P25="terminé", N25,"")</f>
        <v/>
      </c>
      <c r="S25" s="138">
        <f t="shared" si="9"/>
        <v>0</v>
      </c>
      <c r="T25" s="138">
        <f t="shared" si="10"/>
        <v>0</v>
      </c>
      <c r="U25" s="138">
        <f t="shared" si="11"/>
        <v>0</v>
      </c>
      <c r="V25" s="138">
        <f t="shared" si="12"/>
        <v>0</v>
      </c>
      <c r="W25" s="138">
        <f t="shared" si="13"/>
        <v>0</v>
      </c>
      <c r="X25" s="138">
        <f t="shared" si="14"/>
        <v>0</v>
      </c>
      <c r="Y25" s="138">
        <f t="shared" si="15"/>
        <v>0</v>
      </c>
      <c r="AA25" s="287">
        <f>IF(('Synthèse PER'!P25="A faire")*AND('Synthèse PER'!F25="Agriculture"),'Synthèse PER'!H25,0)</f>
        <v>0</v>
      </c>
      <c r="AB25" s="287">
        <f>IF(('Synthèse PER'!P25="A faire")*AND('Synthèse PER'!F25="Industrie"),'Synthèse PER'!H25,0)</f>
        <v>0</v>
      </c>
      <c r="AC25" s="287">
        <f>IF(('Synthèse PER'!P25="A faire")*AND('Synthèse PER'!F25="Citoyen"),'Synthèse PER'!H25,0)</f>
        <v>0</v>
      </c>
      <c r="AD25" s="287">
        <f>IF(('Synthèse PER'!P25="A faire")*AND('Synthèse PER'!F25="IDELUX"),'Synthèse PER'!H25,0)</f>
        <v>0</v>
      </c>
      <c r="AE25" s="290">
        <f>IF(('Synthèse PER'!P25="A faire")*AND('Synthèse PER'!F25="AC MESSANCY"),'Synthèse PER'!H25,0)</f>
        <v>27000</v>
      </c>
      <c r="AF25" s="287">
        <f>IF(('Synthèse PER'!P25="A faire")*AND('Synthèse PER'!F25="Tertiaire"),'Synthèse PER'!H25,0)</f>
        <v>0</v>
      </c>
      <c r="AG25" s="288"/>
      <c r="AH25" s="290">
        <f>IF(('Synthèse PER'!P25="A faire")*AND('Synthèse PER'!F25="Agriculture"),'Synthèse PER'!J25,0)</f>
        <v>0</v>
      </c>
      <c r="AI25" s="290">
        <f>IF(('Synthèse PER'!P25="A faire")*AND('Synthèse PER'!F25="Industrie"),'Synthèse PER'!J25,0)</f>
        <v>0</v>
      </c>
      <c r="AJ25" s="290">
        <f>IF(('Synthèse PER'!P25="A faire")*AND('Synthèse PER'!F25="Citoyen"),'Synthèse PER'!J25,0)</f>
        <v>0</v>
      </c>
      <c r="AK25" s="290">
        <f>IF(('Synthèse PER'!P25="A faire")*AND('Synthèse PER'!F25="IDELUX"),'Synthèse PER'!J25,0)</f>
        <v>0</v>
      </c>
      <c r="AL25" s="290">
        <f>IF(('Synthèse PER'!P25="A faire")*AND('Synthèse PER'!F25="AC MESSANCY"),'Synthèse PER'!J25,0)</f>
        <v>0</v>
      </c>
      <c r="AM25" s="290">
        <f>IF(('Synthèse PER'!P25="A faire")*AND('Synthèse PER'!F25="Tertiaire"),'Synthèse PER'!J25,0)</f>
        <v>0</v>
      </c>
      <c r="AN25" s="288"/>
      <c r="AO25" s="290">
        <f>IF(('Synthèse PER'!P25="A faire")*AND('Synthèse PER'!E25="Territoire"),'Synthèse PER'!H25,0)</f>
        <v>27000</v>
      </c>
      <c r="AP25" s="290">
        <f>IF(('Synthèse PER'!P25="A faire")*AND('Synthèse PER'!E25="Agriculture"),'Synthèse PER'!H25,0)</f>
        <v>0</v>
      </c>
      <c r="AQ25" s="290">
        <f>IF(('Synthèse PER'!P25="A faire")*AND('Synthèse PER'!E25="Industrie"),'Synthèse PER'!H25,0)</f>
        <v>0</v>
      </c>
      <c r="AR25" s="290">
        <f>IF(('Synthèse PER'!P25="A faire")*AND('Synthèse PER'!E25="Logement"),'Synthèse PER'!H25,0)</f>
        <v>0</v>
      </c>
      <c r="AS25" s="290">
        <f>IF(('Synthèse PER'!P25="A faire")*AND('Synthèse PER'!E25="Tertiaire"),'Synthèse PER'!H25,0)</f>
        <v>0</v>
      </c>
      <c r="AT25" s="290">
        <f>IF(('Synthèse PER'!P25="A faire")*AND('Synthèse PER'!E25="Transport"),'Synthèse PER'!H25,0)</f>
        <v>0</v>
      </c>
      <c r="AU25" s="290">
        <f>IF(('Synthèse PER'!P25="A faire")*AND('Synthèse PER'!E25="Communal"),'Synthèse PER'!H25,0)</f>
        <v>0</v>
      </c>
      <c r="AV25" s="288"/>
      <c r="AW25" s="290">
        <f>IF(('Synthèse PER'!P25="A faire")*AND('Synthèse PER'!E25="Territoire"),'Synthèse PER'!J25,0)</f>
        <v>0</v>
      </c>
      <c r="AX25" s="290">
        <f>IF(('Synthèse PER'!P25="A faire")*AND('Synthèse PER'!E25="Agriculture"),'Synthèse PER'!J25,0)</f>
        <v>0</v>
      </c>
      <c r="AY25" s="290">
        <f>IF(('Synthèse PER'!P25="A faire")*AND('Synthèse PER'!E25="Industrie"),'Synthèse PER'!J25,0)</f>
        <v>0</v>
      </c>
      <c r="AZ25" s="290">
        <f>IF(('Synthèse PER'!P25="A faire")*AND('Synthèse PER'!E25="Logement"),'Synthèse PER'!J25,0)</f>
        <v>0</v>
      </c>
      <c r="BA25" s="290">
        <f>IF(('Synthèse PER'!P25="A faire")*AND('Synthèse PER'!E25="Tertiaire"),'Synthèse PER'!J25,0)</f>
        <v>0</v>
      </c>
      <c r="BB25" s="290">
        <f>IF(('Synthèse PER'!P25="A faire")*AND('Synthèse PER'!E25="Transport"),'Synthèse PER'!J25,0)</f>
        <v>0</v>
      </c>
      <c r="BC25" s="290">
        <f>IF(('Synthèse PER'!P25="A faire")*AND('Synthèse PER'!E25="Communal"),'Synthèse PER'!J25,0)</f>
        <v>0</v>
      </c>
      <c r="BD25" s="288"/>
      <c r="BE25" s="290">
        <f>IF(('Synthèse PER'!P25="A faire")*AND('Synthèse PER'!E25="Territoire"),'Synthèse PER'!K25,0)</f>
        <v>1</v>
      </c>
      <c r="BF25" s="290">
        <f>IF(('Synthèse PER'!P25="A faire")*AND('Synthèse PER'!E25="Agriculture"),'Synthèse PER'!K25,0)</f>
        <v>0</v>
      </c>
      <c r="BG25" s="290">
        <f>IF(('Synthèse PER'!P25="A faire")*AND('Synthèse PER'!E25="Industrie"),'Synthèse PER'!K25,0)</f>
        <v>0</v>
      </c>
      <c r="BH25" s="290">
        <f>IF(('Synthèse PER'!P25="A faire")*AND('Synthèse PER'!E25="Logement"),'Synthèse PER'!K25,0)</f>
        <v>0</v>
      </c>
      <c r="BI25" s="290">
        <f>IF(('Synthèse PER'!P25="A faire")*AND('Synthèse PER'!E25="Tertiaire"),'Synthèse PER'!K25,0)</f>
        <v>0</v>
      </c>
      <c r="BJ25" s="290">
        <f>IF(('Synthèse PER'!P25="A faire")*AND('Synthèse PER'!E25="Transport"),'Synthèse PER'!K25,0)</f>
        <v>0</v>
      </c>
      <c r="BK25" s="290">
        <f>IF(('Synthèse PER'!P25="A faire")*AND('Synthèse PER'!E25="Communal"),'Synthèse PER'!K25,0)</f>
        <v>0</v>
      </c>
      <c r="BL25" s="288"/>
      <c r="BM25" s="290">
        <f>IF(('Synthèse PER'!P25="A faire")*AND('Synthèse PER'!E25="Territoire"),'Synthèse PER'!L25,0)</f>
        <v>0</v>
      </c>
      <c r="BN25" s="290">
        <f>IF(('Synthèse PER'!P25="A faire")*AND('Synthèse PER'!E25="Agriculture"),'Synthèse PER'!L25,0)</f>
        <v>0</v>
      </c>
      <c r="BO25" s="290">
        <f>IF(('Synthèse PER'!P25="A faire")*AND('Synthèse PER'!E25="Industrie"),'Synthèse PER'!L25,0)</f>
        <v>0</v>
      </c>
      <c r="BP25" s="290">
        <f>IF(('Synthèse PER'!P25="A faire")*AND('Synthèse PER'!E25="Logement"),'Synthèse PER'!L25,0)</f>
        <v>0</v>
      </c>
      <c r="BQ25" s="290">
        <f>IF(('Synthèse PER'!P25="A faire")*AND('Synthèse PER'!E25="Tertiaire"),'Synthèse PER'!L25,0)</f>
        <v>0</v>
      </c>
      <c r="BR25" s="290">
        <f>IF(('Synthèse PER'!P25="A faire")*AND('Synthèse PER'!E25="Transport"),'Synthèse PER'!L25,0)</f>
        <v>0</v>
      </c>
      <c r="BS25" s="290">
        <f>IF(('Synthèse PER'!P25="A faire")*AND('Synthèse PER'!E25="Communal"),'Synthèse PER'!L25,0)</f>
        <v>0</v>
      </c>
      <c r="BT25" s="290">
        <f>IF(('Synthèse PER'!Q25="A faire")*AND('Synthèse PER'!F25="Communal"),'Synthèse PER'!M25,0)</f>
        <v>0</v>
      </c>
    </row>
    <row r="26" spans="1:72" s="139" customFormat="1" x14ac:dyDescent="0.25">
      <c r="A26" s="370" t="s">
        <v>871</v>
      </c>
      <c r="B26" s="481" t="str">
        <f>'ADO-33'!B$3:E$3</f>
        <v>Mobilisation</v>
      </c>
      <c r="C26" s="419" t="str">
        <f>'ADO-33'!$B$8</f>
        <v>Secteur touristique</v>
      </c>
      <c r="D26" s="133" t="str">
        <f>'ADO-33'!$B$9</f>
        <v>Sensibilisation du secteur touristique</v>
      </c>
      <c r="E26" s="133" t="str">
        <f>'ADO-33'!$B$4</f>
        <v>Territoire</v>
      </c>
      <c r="F26" s="133" t="str">
        <f>'ADO-33'!$B$12</f>
        <v>AC MESSANCY</v>
      </c>
      <c r="G26" s="133" t="str">
        <f>'ADO-33'!$B$6</f>
        <v>Fonds propres</v>
      </c>
      <c r="H26" s="134">
        <f>'ADO-33'!$B$17</f>
        <v>5000</v>
      </c>
      <c r="I26" s="133" t="str">
        <f>'ADO-33'!$B$7</f>
        <v>Subs RW</v>
      </c>
      <c r="J26" s="134">
        <f>'ADO-33'!$B$18</f>
        <v>0</v>
      </c>
      <c r="K26" s="134">
        <f>'ADO-33'!$B$21</f>
        <v>1</v>
      </c>
      <c r="L26" s="134">
        <f>'ADO-33'!$B$22</f>
        <v>0</v>
      </c>
      <c r="M26" s="135">
        <f>'ADO-33'!$B$24</f>
        <v>5000</v>
      </c>
      <c r="N26" s="135">
        <f>'ADO-33'!$B$19/1000</f>
        <v>0</v>
      </c>
      <c r="O26" s="136">
        <f>IF(H26=0,0,N26/(H26-J26)*1000)</f>
        <v>0</v>
      </c>
      <c r="P26" s="137" t="str">
        <f>'ADO-33'!$B$5</f>
        <v>A investiguer</v>
      </c>
      <c r="Q26" s="140">
        <f>'ADO-33'!$B$16</f>
        <v>2025</v>
      </c>
      <c r="R26" s="283" t="str">
        <f>IF(P26="terminé", N26,"")</f>
        <v/>
      </c>
      <c r="S26" s="138">
        <f t="shared" si="9"/>
        <v>0</v>
      </c>
      <c r="T26" s="138">
        <f t="shared" si="10"/>
        <v>0</v>
      </c>
      <c r="U26" s="138">
        <f t="shared" si="11"/>
        <v>0</v>
      </c>
      <c r="V26" s="138">
        <f t="shared" si="12"/>
        <v>0</v>
      </c>
      <c r="W26" s="138">
        <f t="shared" si="13"/>
        <v>0</v>
      </c>
      <c r="X26" s="138">
        <f t="shared" si="14"/>
        <v>0</v>
      </c>
      <c r="Y26" s="138">
        <f t="shared" si="15"/>
        <v>0</v>
      </c>
      <c r="AA26" s="287">
        <f>IF(('Synthèse PER'!P26="A faire")*AND('Synthèse PER'!F26="Agriculture"),'Synthèse PER'!H26,0)</f>
        <v>0</v>
      </c>
      <c r="AB26" s="287">
        <f>IF(('Synthèse PER'!P26="A faire")*AND('Synthèse PER'!F26="Industrie"),'Synthèse PER'!H26,0)</f>
        <v>0</v>
      </c>
      <c r="AC26" s="287">
        <f>IF(('Synthèse PER'!P26="A faire")*AND('Synthèse PER'!F26="Citoyen"),'Synthèse PER'!H26,0)</f>
        <v>0</v>
      </c>
      <c r="AD26" s="287">
        <f>IF(('Synthèse PER'!P26="A faire")*AND('Synthèse PER'!F26="IDELUX"),'Synthèse PER'!H26,0)</f>
        <v>0</v>
      </c>
      <c r="AE26" s="290">
        <f>IF(('Synthèse PER'!P26="A faire")*AND('Synthèse PER'!F26="AC MESSANCY"),'Synthèse PER'!H26,0)</f>
        <v>0</v>
      </c>
      <c r="AF26" s="287">
        <f>IF(('Synthèse PER'!P26="A faire")*AND('Synthèse PER'!F26="Tertiaire"),'Synthèse PER'!H26,0)</f>
        <v>0</v>
      </c>
      <c r="AG26" s="288"/>
      <c r="AH26" s="290">
        <f>IF(('Synthèse PER'!P26="A faire")*AND('Synthèse PER'!F26="Agriculture"),'Synthèse PER'!J26,0)</f>
        <v>0</v>
      </c>
      <c r="AI26" s="290">
        <f>IF(('Synthèse PER'!P26="A faire")*AND('Synthèse PER'!F26="Industrie"),'Synthèse PER'!J26,0)</f>
        <v>0</v>
      </c>
      <c r="AJ26" s="290">
        <f>IF(('Synthèse PER'!P26="A faire")*AND('Synthèse PER'!F26="Citoyen"),'Synthèse PER'!J26,0)</f>
        <v>0</v>
      </c>
      <c r="AK26" s="290">
        <f>IF(('Synthèse PER'!P26="A faire")*AND('Synthèse PER'!F26="IDELUX"),'Synthèse PER'!J26,0)</f>
        <v>0</v>
      </c>
      <c r="AL26" s="290">
        <f>IF(('Synthèse PER'!P26="A faire")*AND('Synthèse PER'!F26="AC MESSANCY"),'Synthèse PER'!J26,0)</f>
        <v>0</v>
      </c>
      <c r="AM26" s="290">
        <f>IF(('Synthèse PER'!P26="A faire")*AND('Synthèse PER'!F26="Tertiaire"),'Synthèse PER'!J26,0)</f>
        <v>0</v>
      </c>
      <c r="AN26" s="288"/>
      <c r="AO26" s="290">
        <f>IF(('Synthèse PER'!P26="A faire")*AND('Synthèse PER'!E26="Territoire"),'Synthèse PER'!H26,0)</f>
        <v>0</v>
      </c>
      <c r="AP26" s="290">
        <f>IF(('Synthèse PER'!P26="A faire")*AND('Synthèse PER'!E26="Agriculture"),'Synthèse PER'!H26,0)</f>
        <v>0</v>
      </c>
      <c r="AQ26" s="290">
        <f>IF(('Synthèse PER'!P26="A faire")*AND('Synthèse PER'!E26="Industrie"),'Synthèse PER'!H26,0)</f>
        <v>0</v>
      </c>
      <c r="AR26" s="290">
        <f>IF(('Synthèse PER'!P26="A faire")*AND('Synthèse PER'!E26="Logement"),'Synthèse PER'!H26,0)</f>
        <v>0</v>
      </c>
      <c r="AS26" s="290">
        <f>IF(('Synthèse PER'!P26="A faire")*AND('Synthèse PER'!E26="Tertiaire"),'Synthèse PER'!H26,0)</f>
        <v>0</v>
      </c>
      <c r="AT26" s="290">
        <f>IF(('Synthèse PER'!P26="A faire")*AND('Synthèse PER'!E26="Transport"),'Synthèse PER'!H26,0)</f>
        <v>0</v>
      </c>
      <c r="AU26" s="290">
        <f>IF(('Synthèse PER'!P26="A faire")*AND('Synthèse PER'!E26="Communal"),'Synthèse PER'!H26,0)</f>
        <v>0</v>
      </c>
      <c r="AV26" s="288"/>
      <c r="AW26" s="290">
        <f>IF(('Synthèse PER'!P26="A faire")*AND('Synthèse PER'!E26="Territoire"),'Synthèse PER'!J26,0)</f>
        <v>0</v>
      </c>
      <c r="AX26" s="290">
        <f>IF(('Synthèse PER'!P26="A faire")*AND('Synthèse PER'!E26="Agriculture"),'Synthèse PER'!J26,0)</f>
        <v>0</v>
      </c>
      <c r="AY26" s="290">
        <f>IF(('Synthèse PER'!P26="A faire")*AND('Synthèse PER'!E26="Industrie"),'Synthèse PER'!J26,0)</f>
        <v>0</v>
      </c>
      <c r="AZ26" s="290">
        <f>IF(('Synthèse PER'!P26="A faire")*AND('Synthèse PER'!E26="Logement"),'Synthèse PER'!J26,0)</f>
        <v>0</v>
      </c>
      <c r="BA26" s="290">
        <f>IF(('Synthèse PER'!P26="A faire")*AND('Synthèse PER'!E26="Tertiaire"),'Synthèse PER'!J26,0)</f>
        <v>0</v>
      </c>
      <c r="BB26" s="290">
        <f>IF(('Synthèse PER'!P26="A faire")*AND('Synthèse PER'!E26="Transport"),'Synthèse PER'!J26,0)</f>
        <v>0</v>
      </c>
      <c r="BC26" s="290">
        <f>IF(('Synthèse PER'!P26="A faire")*AND('Synthèse PER'!E26="Communal"),'Synthèse PER'!J26,0)</f>
        <v>0</v>
      </c>
      <c r="BD26" s="288"/>
      <c r="BE26" s="290">
        <f>IF(('Synthèse PER'!P26="A faire")*AND('Synthèse PER'!E26="Territoire"),'Synthèse PER'!K26,0)</f>
        <v>0</v>
      </c>
      <c r="BF26" s="290">
        <f>IF(('Synthèse PER'!P26="A faire")*AND('Synthèse PER'!E26="Agriculture"),'Synthèse PER'!K26,0)</f>
        <v>0</v>
      </c>
      <c r="BG26" s="290">
        <f>IF(('Synthèse PER'!P26="A faire")*AND('Synthèse PER'!E26="Industrie"),'Synthèse PER'!K26,0)</f>
        <v>0</v>
      </c>
      <c r="BH26" s="290">
        <f>IF(('Synthèse PER'!P26="A faire")*AND('Synthèse PER'!E26="Logement"),'Synthèse PER'!K26,0)</f>
        <v>0</v>
      </c>
      <c r="BI26" s="290">
        <f>IF(('Synthèse PER'!P26="A faire")*AND('Synthèse PER'!E26="Tertiaire"),'Synthèse PER'!K26,0)</f>
        <v>0</v>
      </c>
      <c r="BJ26" s="290">
        <f>IF(('Synthèse PER'!P26="A faire")*AND('Synthèse PER'!E26="Transport"),'Synthèse PER'!K26,0)</f>
        <v>0</v>
      </c>
      <c r="BK26" s="290">
        <f>IF(('Synthèse PER'!P26="A faire")*AND('Synthèse PER'!E26="Communal"),'Synthèse PER'!K26,0)</f>
        <v>0</v>
      </c>
      <c r="BL26" s="288"/>
      <c r="BM26" s="290">
        <f>IF(('Synthèse PER'!P26="A faire")*AND('Synthèse PER'!E26="Territoire"),'Synthèse PER'!L26,0)</f>
        <v>0</v>
      </c>
      <c r="BN26" s="290">
        <f>IF(('Synthèse PER'!P26="A faire")*AND('Synthèse PER'!E26="Agriculture"),'Synthèse PER'!L26,0)</f>
        <v>0</v>
      </c>
      <c r="BO26" s="290">
        <f>IF(('Synthèse PER'!P26="A faire")*AND('Synthèse PER'!E26="Industrie"),'Synthèse PER'!L26,0)</f>
        <v>0</v>
      </c>
      <c r="BP26" s="290">
        <f>IF(('Synthèse PER'!P26="A faire")*AND('Synthèse PER'!E26="Logement"),'Synthèse PER'!L26,0)</f>
        <v>0</v>
      </c>
      <c r="BQ26" s="290">
        <f>IF(('Synthèse PER'!P26="A faire")*AND('Synthèse PER'!E26="Tertiaire"),'Synthèse PER'!L26,0)</f>
        <v>0</v>
      </c>
      <c r="BR26" s="290">
        <f>IF(('Synthèse PER'!P26="A faire")*AND('Synthèse PER'!E26="Transport"),'Synthèse PER'!L26,0)</f>
        <v>0</v>
      </c>
      <c r="BS26" s="290">
        <f>IF(('Synthèse PER'!P26="A faire")*AND('Synthèse PER'!E26="Communal"),'Synthèse PER'!L26,0)</f>
        <v>0</v>
      </c>
      <c r="BT26" s="290">
        <f>IF(('Synthèse PER'!Q26="A faire")*AND('Synthèse PER'!F26="Communal"),'Synthèse PER'!M26,0)</f>
        <v>0</v>
      </c>
    </row>
    <row r="27" spans="1:72" s="139" customFormat="1" x14ac:dyDescent="0.25">
      <c r="A27" s="370" t="s">
        <v>987</v>
      </c>
      <c r="B27" s="565" t="str">
        <f>'ADO-34'!B$3:E$3</f>
        <v>Mobilisation</v>
      </c>
      <c r="C27" s="419" t="str">
        <f>'ADO-34'!$B$8</f>
        <v>Publics précarisés</v>
      </c>
      <c r="D27" s="133" t="str">
        <f>'ADO-34'!$B$9</f>
        <v>Moyens d'actions</v>
      </c>
      <c r="E27" s="133" t="str">
        <f>'ADO-34'!$B$4</f>
        <v>Logement</v>
      </c>
      <c r="F27" s="133" t="str">
        <f>'ADO-34'!$B$12</f>
        <v>AC MESSANCY</v>
      </c>
      <c r="G27" s="133" t="str">
        <f>'ADO-34'!$B$6</f>
        <v>Néant</v>
      </c>
      <c r="H27" s="134">
        <f>'ADO-34'!$B$17</f>
        <v>0</v>
      </c>
      <c r="I27" s="133" t="str">
        <f>'ADO-34'!$B$7</f>
        <v>Néant</v>
      </c>
      <c r="J27" s="134">
        <f>'ADO-34'!$B$18</f>
        <v>0</v>
      </c>
      <c r="K27" s="134">
        <f>'ADO-34'!$B$21</f>
        <v>1</v>
      </c>
      <c r="L27" s="134">
        <f>'ADO-34'!$B$22</f>
        <v>0</v>
      </c>
      <c r="M27" s="135">
        <f>'ADO-34'!$B$24</f>
        <v>0</v>
      </c>
      <c r="N27" s="135">
        <f>'ADO-34'!$B$19/1000</f>
        <v>0</v>
      </c>
      <c r="O27" s="136">
        <f t="shared" ref="O27:O28" si="27">IF(H27=0,0,N27/(H27-J27)*1000)</f>
        <v>0</v>
      </c>
      <c r="P27" s="137" t="str">
        <f>'ADO-34'!$B$5</f>
        <v>A faire</v>
      </c>
      <c r="Q27" s="140">
        <f>'ADO-34'!$B$16</f>
        <v>2020</v>
      </c>
      <c r="R27" s="283" t="str">
        <f t="shared" ref="R27:R28" si="28">IF(P27="terminé", N27,"")</f>
        <v/>
      </c>
      <c r="S27" s="138">
        <f t="shared" ref="S27:S28" si="29">IF((P27="Terminé")*AND(E27="Territoire"),N27,0)</f>
        <v>0</v>
      </c>
      <c r="T27" s="138">
        <f t="shared" ref="T27:T28" si="30">IF((P27="Terminé")*AND(E27="Agriculture"),N27,0)</f>
        <v>0</v>
      </c>
      <c r="U27" s="138">
        <f t="shared" ref="U27:U28" si="31">IF((P27="Terminé")*AND(E27="Industrie"), N27,0)</f>
        <v>0</v>
      </c>
      <c r="V27" s="138">
        <f t="shared" ref="V27:V28" si="32">IF((P27="Terminé")*AND(E27="Logement"),N27,0)</f>
        <v>0</v>
      </c>
      <c r="W27" s="138">
        <f t="shared" ref="W27:W28" si="33">IF((P27="Terminé")*AND(E27="Tertiaire"),N27,0)</f>
        <v>0</v>
      </c>
      <c r="X27" s="138">
        <f t="shared" ref="X27:X28" si="34">IF((P27="Terminé")*AND(E27="Transport"),N27,0)</f>
        <v>0</v>
      </c>
      <c r="Y27" s="138">
        <f t="shared" ref="Y27:Y28" si="35">IF((P27="Terminé")*AND(E27="Communal"),N27,0)</f>
        <v>0</v>
      </c>
      <c r="AA27" s="287">
        <f>IF(('Synthèse PER'!P27="A faire")*AND('Synthèse PER'!F27="Agriculture"),'Synthèse PER'!H27,0)</f>
        <v>0</v>
      </c>
      <c r="AB27" s="287">
        <f>IF(('Synthèse PER'!P27="A faire")*AND('Synthèse PER'!F27="Industrie"),'Synthèse PER'!H27,0)</f>
        <v>0</v>
      </c>
      <c r="AC27" s="287">
        <f>IF(('Synthèse PER'!P27="A faire")*AND('Synthèse PER'!F27="Citoyen"),'Synthèse PER'!H27,0)</f>
        <v>0</v>
      </c>
      <c r="AD27" s="287">
        <f>IF(('Synthèse PER'!P27="A faire")*AND('Synthèse PER'!F27="IDELUX"),'Synthèse PER'!H27,0)</f>
        <v>0</v>
      </c>
      <c r="AE27" s="290">
        <f>IF(('Synthèse PER'!P27="A faire")*AND('Synthèse PER'!F27="AC MESSANCY"),'Synthèse PER'!H27,0)</f>
        <v>0</v>
      </c>
      <c r="AF27" s="287">
        <f>IF(('Synthèse PER'!P27="A faire")*AND('Synthèse PER'!F27="Tertiaire"),'Synthèse PER'!H27,0)</f>
        <v>0</v>
      </c>
      <c r="AG27" s="288"/>
      <c r="AH27" s="290">
        <f>IF(('Synthèse PER'!P27="A faire")*AND('Synthèse PER'!F27="Agriculture"),'Synthèse PER'!J27,0)</f>
        <v>0</v>
      </c>
      <c r="AI27" s="290">
        <f>IF(('Synthèse PER'!P27="A faire")*AND('Synthèse PER'!F27="Industrie"),'Synthèse PER'!J27,0)</f>
        <v>0</v>
      </c>
      <c r="AJ27" s="290">
        <f>IF(('Synthèse PER'!P27="A faire")*AND('Synthèse PER'!F27="Citoyen"),'Synthèse PER'!J27,0)</f>
        <v>0</v>
      </c>
      <c r="AK27" s="290">
        <f>IF(('Synthèse PER'!P27="A faire")*AND('Synthèse PER'!F27="IDELUX"),'Synthèse PER'!J27,0)</f>
        <v>0</v>
      </c>
      <c r="AL27" s="290">
        <f>IF(('Synthèse PER'!P27="A faire")*AND('Synthèse PER'!F27="AC MESSANCY"),'Synthèse PER'!J27,0)</f>
        <v>0</v>
      </c>
      <c r="AM27" s="290">
        <f>IF(('Synthèse PER'!P27="A faire")*AND('Synthèse PER'!F27="Tertiaire"),'Synthèse PER'!J27,0)</f>
        <v>0</v>
      </c>
      <c r="AN27" s="288"/>
      <c r="AO27" s="290">
        <f>IF(('Synthèse PER'!P27="A faire")*AND('Synthèse PER'!E27="Territoire"),'Synthèse PER'!H27,0)</f>
        <v>0</v>
      </c>
      <c r="AP27" s="290">
        <f>IF(('Synthèse PER'!P27="A faire")*AND('Synthèse PER'!E27="Agriculture"),'Synthèse PER'!H27,0)</f>
        <v>0</v>
      </c>
      <c r="AQ27" s="290">
        <f>IF(('Synthèse PER'!P27="A faire")*AND('Synthèse PER'!E27="Industrie"),'Synthèse PER'!H27,0)</f>
        <v>0</v>
      </c>
      <c r="AR27" s="290">
        <f>IF(('Synthèse PER'!P27="A faire")*AND('Synthèse PER'!E27="Logement"),'Synthèse PER'!H27,0)</f>
        <v>0</v>
      </c>
      <c r="AS27" s="290">
        <f>IF(('Synthèse PER'!P27="A faire")*AND('Synthèse PER'!E27="Tertiaire"),'Synthèse PER'!H27,0)</f>
        <v>0</v>
      </c>
      <c r="AT27" s="290">
        <f>IF(('Synthèse PER'!P27="A faire")*AND('Synthèse PER'!E27="Transport"),'Synthèse PER'!H27,0)</f>
        <v>0</v>
      </c>
      <c r="AU27" s="290">
        <f>IF(('Synthèse PER'!P27="A faire")*AND('Synthèse PER'!E27="Communal"),'Synthèse PER'!H27,0)</f>
        <v>0</v>
      </c>
      <c r="AV27" s="288"/>
      <c r="AW27" s="290">
        <f>IF(('Synthèse PER'!P27="A faire")*AND('Synthèse PER'!E27="Territoire"),'Synthèse PER'!J27,0)</f>
        <v>0</v>
      </c>
      <c r="AX27" s="290">
        <f>IF(('Synthèse PER'!P27="A faire")*AND('Synthèse PER'!E27="Agriculture"),'Synthèse PER'!J27,0)</f>
        <v>0</v>
      </c>
      <c r="AY27" s="290">
        <f>IF(('Synthèse PER'!P27="A faire")*AND('Synthèse PER'!E27="Industrie"),'Synthèse PER'!J27,0)</f>
        <v>0</v>
      </c>
      <c r="AZ27" s="290">
        <f>IF(('Synthèse PER'!P27="A faire")*AND('Synthèse PER'!E27="Logement"),'Synthèse PER'!J27,0)</f>
        <v>0</v>
      </c>
      <c r="BA27" s="290">
        <f>IF(('Synthèse PER'!P27="A faire")*AND('Synthèse PER'!E27="Tertiaire"),'Synthèse PER'!J27,0)</f>
        <v>0</v>
      </c>
      <c r="BB27" s="290">
        <f>IF(('Synthèse PER'!P27="A faire")*AND('Synthèse PER'!E27="Transport"),'Synthèse PER'!J27,0)</f>
        <v>0</v>
      </c>
      <c r="BC27" s="290">
        <f>IF(('Synthèse PER'!P27="A faire")*AND('Synthèse PER'!E27="Communal"),'Synthèse PER'!J27,0)</f>
        <v>0</v>
      </c>
      <c r="BD27" s="288"/>
      <c r="BE27" s="290">
        <f>IF(('Synthèse PER'!P27="A faire")*AND('Synthèse PER'!E27="Territoire"),'Synthèse PER'!K27,0)</f>
        <v>0</v>
      </c>
      <c r="BF27" s="290">
        <f>IF(('Synthèse PER'!P27="A faire")*AND('Synthèse PER'!E27="Agriculture"),'Synthèse PER'!K27,0)</f>
        <v>0</v>
      </c>
      <c r="BG27" s="290">
        <f>IF(('Synthèse PER'!P27="A faire")*AND('Synthèse PER'!E27="Industrie"),'Synthèse PER'!K27,0)</f>
        <v>0</v>
      </c>
      <c r="BH27" s="290">
        <f>IF(('Synthèse PER'!P27="A faire")*AND('Synthèse PER'!E27="Logement"),'Synthèse PER'!K27,0)</f>
        <v>1</v>
      </c>
      <c r="BI27" s="290">
        <f>IF(('Synthèse PER'!P27="A faire")*AND('Synthèse PER'!E27="Tertiaire"),'Synthèse PER'!K27,0)</f>
        <v>0</v>
      </c>
      <c r="BJ27" s="290">
        <f>IF(('Synthèse PER'!P27="A faire")*AND('Synthèse PER'!E27="Transport"),'Synthèse PER'!K27,0)</f>
        <v>0</v>
      </c>
      <c r="BK27" s="290">
        <f>IF(('Synthèse PER'!P27="A faire")*AND('Synthèse PER'!E27="Communal"),'Synthèse PER'!K27,0)</f>
        <v>0</v>
      </c>
      <c r="BL27" s="288"/>
      <c r="BM27" s="290">
        <f>IF(('Synthèse PER'!P27="A faire")*AND('Synthèse PER'!E27="Territoire"),'Synthèse PER'!L27,0)</f>
        <v>0</v>
      </c>
      <c r="BN27" s="290">
        <f>IF(('Synthèse PER'!P27="A faire")*AND('Synthèse PER'!E27="Agriculture"),'Synthèse PER'!L27,0)</f>
        <v>0</v>
      </c>
      <c r="BO27" s="290">
        <f>IF(('Synthèse PER'!P27="A faire")*AND('Synthèse PER'!E27="Industrie"),'Synthèse PER'!L27,0)</f>
        <v>0</v>
      </c>
      <c r="BP27" s="290">
        <f>IF(('Synthèse PER'!P27="A faire")*AND('Synthèse PER'!E27="Logement"),'Synthèse PER'!L27,0)</f>
        <v>0</v>
      </c>
      <c r="BQ27" s="290">
        <f>IF(('Synthèse PER'!P27="A faire")*AND('Synthèse PER'!E27="Tertiaire"),'Synthèse PER'!L27,0)</f>
        <v>0</v>
      </c>
      <c r="BR27" s="290">
        <f>IF(('Synthèse PER'!P27="A faire")*AND('Synthèse PER'!E27="Transport"),'Synthèse PER'!L27,0)</f>
        <v>0</v>
      </c>
      <c r="BS27" s="290">
        <f>IF(('Synthèse PER'!P27="A faire")*AND('Synthèse PER'!E27="Communal"),'Synthèse PER'!L27,0)</f>
        <v>0</v>
      </c>
      <c r="BT27" s="290"/>
    </row>
    <row r="28" spans="1:72" s="139" customFormat="1" x14ac:dyDescent="0.25">
      <c r="A28" s="370" t="s">
        <v>990</v>
      </c>
      <c r="B28" s="565" t="str">
        <f>'ADO-35'!B$3:E$3</f>
        <v>Mobilisation</v>
      </c>
      <c r="C28" s="419" t="str">
        <f>'ADO-35'!$B$8</f>
        <v>Citoyens</v>
      </c>
      <c r="D28" s="133" t="str">
        <f>'ADO-35'!$B$9</f>
        <v>Panneaux spécifiques</v>
      </c>
      <c r="E28" s="133" t="str">
        <f>'ADO-35'!$B$4</f>
        <v>Logement</v>
      </c>
      <c r="F28" s="133" t="str">
        <f>'ADO-35'!$B$12</f>
        <v>AC MESSANCY</v>
      </c>
      <c r="G28" s="133" t="str">
        <f>'ADO-35'!$B$6</f>
        <v>Fonds propres</v>
      </c>
      <c r="H28" s="134">
        <f>'ADO-35'!$B$17</f>
        <v>5000</v>
      </c>
      <c r="I28" s="133" t="str">
        <f>'ADO-35'!$B$7</f>
        <v>Subs RW</v>
      </c>
      <c r="J28" s="134">
        <f>'ADO-35'!$B$18</f>
        <v>0</v>
      </c>
      <c r="K28" s="134">
        <f>'ADO-35'!$B$21</f>
        <v>1</v>
      </c>
      <c r="L28" s="134">
        <f>'ADO-35'!$B$22</f>
        <v>0</v>
      </c>
      <c r="M28" s="135">
        <f>'ADO-35'!$B$24</f>
        <v>5000</v>
      </c>
      <c r="N28" s="135">
        <f>'ADO-35'!$B$19/1000</f>
        <v>0</v>
      </c>
      <c r="O28" s="136">
        <f t="shared" si="27"/>
        <v>0</v>
      </c>
      <c r="P28" s="137" t="str">
        <f>'ADO-35'!$B$5</f>
        <v>A faire</v>
      </c>
      <c r="Q28" s="140">
        <f>'ADO-35'!$B$16</f>
        <v>2025</v>
      </c>
      <c r="R28" s="283" t="str">
        <f t="shared" si="28"/>
        <v/>
      </c>
      <c r="S28" s="138">
        <f t="shared" si="29"/>
        <v>0</v>
      </c>
      <c r="T28" s="138">
        <f t="shared" si="30"/>
        <v>0</v>
      </c>
      <c r="U28" s="138">
        <f t="shared" si="31"/>
        <v>0</v>
      </c>
      <c r="V28" s="138">
        <f t="shared" si="32"/>
        <v>0</v>
      </c>
      <c r="W28" s="138">
        <f t="shared" si="33"/>
        <v>0</v>
      </c>
      <c r="X28" s="138">
        <f t="shared" si="34"/>
        <v>0</v>
      </c>
      <c r="Y28" s="138">
        <f t="shared" si="35"/>
        <v>0</v>
      </c>
      <c r="AA28" s="287">
        <f>IF(('Synthèse PER'!P28="A faire")*AND('Synthèse PER'!F28="Agriculture"),'Synthèse PER'!H28,0)</f>
        <v>0</v>
      </c>
      <c r="AB28" s="287">
        <f>IF(('Synthèse PER'!P28="A faire")*AND('Synthèse PER'!F28="Industrie"),'Synthèse PER'!H28,0)</f>
        <v>0</v>
      </c>
      <c r="AC28" s="287">
        <f>IF(('Synthèse PER'!P28="A faire")*AND('Synthèse PER'!F28="Citoyen"),'Synthèse PER'!H28,0)</f>
        <v>0</v>
      </c>
      <c r="AD28" s="287">
        <f>IF(('Synthèse PER'!P28="A faire")*AND('Synthèse PER'!F28="IDELUX"),'Synthèse PER'!H28,0)</f>
        <v>0</v>
      </c>
      <c r="AE28" s="290">
        <f>IF(('Synthèse PER'!P28="A faire")*AND('Synthèse PER'!F28="AC MESSANCY"),'Synthèse PER'!H28,0)</f>
        <v>5000</v>
      </c>
      <c r="AF28" s="287">
        <f>IF(('Synthèse PER'!P28="A faire")*AND('Synthèse PER'!F28="Tertiaire"),'Synthèse PER'!H28,0)</f>
        <v>0</v>
      </c>
      <c r="AG28" s="288"/>
      <c r="AH28" s="290">
        <f>IF(('Synthèse PER'!P28="A faire")*AND('Synthèse PER'!F28="Agriculture"),'Synthèse PER'!J28,0)</f>
        <v>0</v>
      </c>
      <c r="AI28" s="290">
        <f>IF(('Synthèse PER'!P28="A faire")*AND('Synthèse PER'!F28="Industrie"),'Synthèse PER'!J28,0)</f>
        <v>0</v>
      </c>
      <c r="AJ28" s="290">
        <f>IF(('Synthèse PER'!P28="A faire")*AND('Synthèse PER'!F28="Citoyen"),'Synthèse PER'!J28,0)</f>
        <v>0</v>
      </c>
      <c r="AK28" s="290">
        <f>IF(('Synthèse PER'!P28="A faire")*AND('Synthèse PER'!F28="IDELUX"),'Synthèse PER'!J28,0)</f>
        <v>0</v>
      </c>
      <c r="AL28" s="290">
        <f>IF(('Synthèse PER'!P28="A faire")*AND('Synthèse PER'!F28="AC MESSANCY"),'Synthèse PER'!J28,0)</f>
        <v>0</v>
      </c>
      <c r="AM28" s="290">
        <f>IF(('Synthèse PER'!P28="A faire")*AND('Synthèse PER'!F28="Tertiaire"),'Synthèse PER'!J28,0)</f>
        <v>0</v>
      </c>
      <c r="AN28" s="288"/>
      <c r="AO28" s="290">
        <f>IF(('Synthèse PER'!P28="A faire")*AND('Synthèse PER'!E28="Territoire"),'Synthèse PER'!H28,0)</f>
        <v>0</v>
      </c>
      <c r="AP28" s="290">
        <f>IF(('Synthèse PER'!P28="A faire")*AND('Synthèse PER'!E28="Agriculture"),'Synthèse PER'!H28,0)</f>
        <v>0</v>
      </c>
      <c r="AQ28" s="290">
        <f>IF(('Synthèse PER'!P28="A faire")*AND('Synthèse PER'!E28="Industrie"),'Synthèse PER'!H28,0)</f>
        <v>0</v>
      </c>
      <c r="AR28" s="290">
        <f>IF(('Synthèse PER'!P28="A faire")*AND('Synthèse PER'!E28="Logement"),'Synthèse PER'!H28,0)</f>
        <v>5000</v>
      </c>
      <c r="AS28" s="290">
        <f>IF(('Synthèse PER'!P28="A faire")*AND('Synthèse PER'!E28="Tertiaire"),'Synthèse PER'!H28,0)</f>
        <v>0</v>
      </c>
      <c r="AT28" s="290">
        <f>IF(('Synthèse PER'!P28="A faire")*AND('Synthèse PER'!E28="Transport"),'Synthèse PER'!H28,0)</f>
        <v>0</v>
      </c>
      <c r="AU28" s="290">
        <f>IF(('Synthèse PER'!P28="A faire")*AND('Synthèse PER'!E28="Communal"),'Synthèse PER'!H28,0)</f>
        <v>0</v>
      </c>
      <c r="AV28" s="288"/>
      <c r="AW28" s="290">
        <f>IF(('Synthèse PER'!P28="A faire")*AND('Synthèse PER'!E28="Territoire"),'Synthèse PER'!J28,0)</f>
        <v>0</v>
      </c>
      <c r="AX28" s="290">
        <f>IF(('Synthèse PER'!P28="A faire")*AND('Synthèse PER'!E28="Agriculture"),'Synthèse PER'!J28,0)</f>
        <v>0</v>
      </c>
      <c r="AY28" s="290">
        <f>IF(('Synthèse PER'!P28="A faire")*AND('Synthèse PER'!E28="Industrie"),'Synthèse PER'!J28,0)</f>
        <v>0</v>
      </c>
      <c r="AZ28" s="290">
        <f>IF(('Synthèse PER'!P28="A faire")*AND('Synthèse PER'!E28="Logement"),'Synthèse PER'!J28,0)</f>
        <v>0</v>
      </c>
      <c r="BA28" s="290">
        <f>IF(('Synthèse PER'!P28="A faire")*AND('Synthèse PER'!E28="Tertiaire"),'Synthèse PER'!J28,0)</f>
        <v>0</v>
      </c>
      <c r="BB28" s="290">
        <f>IF(('Synthèse PER'!P28="A faire")*AND('Synthèse PER'!E28="Transport"),'Synthèse PER'!J28,0)</f>
        <v>0</v>
      </c>
      <c r="BC28" s="290">
        <f>IF(('Synthèse PER'!P28="A faire")*AND('Synthèse PER'!E28="Communal"),'Synthèse PER'!J28,0)</f>
        <v>0</v>
      </c>
      <c r="BD28" s="288"/>
      <c r="BE28" s="290">
        <f>IF(('Synthèse PER'!P28="A faire")*AND('Synthèse PER'!E28="Territoire"),'Synthèse PER'!K28,0)</f>
        <v>0</v>
      </c>
      <c r="BF28" s="290">
        <f>IF(('Synthèse PER'!P28="A faire")*AND('Synthèse PER'!E28="Agriculture"),'Synthèse PER'!K28,0)</f>
        <v>0</v>
      </c>
      <c r="BG28" s="290">
        <f>IF(('Synthèse PER'!P28="A faire")*AND('Synthèse PER'!E28="Industrie"),'Synthèse PER'!K28,0)</f>
        <v>0</v>
      </c>
      <c r="BH28" s="290">
        <f>IF(('Synthèse PER'!P28="A faire")*AND('Synthèse PER'!E28="Logement"),'Synthèse PER'!K28,0)</f>
        <v>1</v>
      </c>
      <c r="BI28" s="290">
        <f>IF(('Synthèse PER'!P28="A faire")*AND('Synthèse PER'!E28="Tertiaire"),'Synthèse PER'!K28,0)</f>
        <v>0</v>
      </c>
      <c r="BJ28" s="290">
        <f>IF(('Synthèse PER'!P28="A faire")*AND('Synthèse PER'!E28="Transport"),'Synthèse PER'!K28,0)</f>
        <v>0</v>
      </c>
      <c r="BK28" s="290">
        <f>IF(('Synthèse PER'!P28="A faire")*AND('Synthèse PER'!E28="Communal"),'Synthèse PER'!K28,0)</f>
        <v>0</v>
      </c>
      <c r="BL28" s="288"/>
      <c r="BM28" s="290">
        <f>IF(('Synthèse PER'!P28="A faire")*AND('Synthèse PER'!E28="Territoire"),'Synthèse PER'!L28,0)</f>
        <v>0</v>
      </c>
      <c r="BN28" s="290">
        <f>IF(('Synthèse PER'!P28="A faire")*AND('Synthèse PER'!E28="Agriculture"),'Synthèse PER'!L28,0)</f>
        <v>0</v>
      </c>
      <c r="BO28" s="290">
        <f>IF(('Synthèse PER'!P28="A faire")*AND('Synthèse PER'!E28="Industrie"),'Synthèse PER'!L28,0)</f>
        <v>0</v>
      </c>
      <c r="BP28" s="290">
        <f>IF(('Synthèse PER'!P28="A faire")*AND('Synthèse PER'!E28="Logement"),'Synthèse PER'!L28,0)</f>
        <v>0</v>
      </c>
      <c r="BQ28" s="290">
        <f>IF(('Synthèse PER'!P28="A faire")*AND('Synthèse PER'!E28="Tertiaire"),'Synthèse PER'!L28,0)</f>
        <v>0</v>
      </c>
      <c r="BR28" s="290">
        <f>IF(('Synthèse PER'!P28="A faire")*AND('Synthèse PER'!E28="Transport"),'Synthèse PER'!L28,0)</f>
        <v>0</v>
      </c>
      <c r="BS28" s="290">
        <f>IF(('Synthèse PER'!P28="A faire")*AND('Synthèse PER'!E28="Communal"),'Synthèse PER'!L28,0)</f>
        <v>0</v>
      </c>
      <c r="BT28" s="290"/>
    </row>
    <row r="29" spans="1:72" s="139" customFormat="1" x14ac:dyDescent="0.25">
      <c r="A29" s="370" t="s">
        <v>1016</v>
      </c>
      <c r="B29" s="578" t="str">
        <f>'ADO-36'!B$3:E$3</f>
        <v>Mobilisation</v>
      </c>
      <c r="C29" s="419" t="str">
        <f>'ADO-36'!$B$8</f>
        <v>Citoyens</v>
      </c>
      <c r="D29" s="133" t="str">
        <f>'ADO-36'!$B$9</f>
        <v>Prêt de compteurs</v>
      </c>
      <c r="E29" s="133" t="str">
        <f>'ADO-36'!$B$4</f>
        <v>Logement</v>
      </c>
      <c r="F29" s="133" t="str">
        <f>'ADO-36'!$B$12</f>
        <v>AC MESSANCY</v>
      </c>
      <c r="G29" s="133" t="str">
        <f>'ADO-36'!$B$6</f>
        <v>Fonds propres</v>
      </c>
      <c r="H29" s="134">
        <f>'ADO-36'!$B$17</f>
        <v>1000</v>
      </c>
      <c r="I29" s="133" t="str">
        <f>'ADO-36'!$B$7</f>
        <v>Subs RW</v>
      </c>
      <c r="J29" s="134">
        <f>'ADO-36'!$B$18</f>
        <v>0</v>
      </c>
      <c r="K29" s="134">
        <f>'ADO-36'!$B$21</f>
        <v>1</v>
      </c>
      <c r="L29" s="134">
        <f>'ADO-36'!$B$22</f>
        <v>0</v>
      </c>
      <c r="M29" s="135">
        <f>'ADO-36'!$B$24</f>
        <v>1000</v>
      </c>
      <c r="N29" s="135">
        <f>'ADO-36'!$B$19/1000</f>
        <v>0</v>
      </c>
      <c r="O29" s="136">
        <f t="shared" ref="O29:O30" si="36">IF(H29=0,0,N29/(H29-J29)*1000)</f>
        <v>0</v>
      </c>
      <c r="P29" s="137" t="str">
        <f>'ADO-36'!$B$5</f>
        <v>A faire</v>
      </c>
      <c r="Q29" s="140">
        <f>'ADO-36'!$B$16</f>
        <v>2030</v>
      </c>
      <c r="R29" s="283" t="str">
        <f t="shared" ref="R29:R30" si="37">IF(P29="terminé", N29,"")</f>
        <v/>
      </c>
      <c r="S29" s="138">
        <f t="shared" ref="S29:S30" si="38">IF((P29="Terminé")*AND(E29="Territoire"),N29,0)</f>
        <v>0</v>
      </c>
      <c r="T29" s="138">
        <f t="shared" ref="T29:T30" si="39">IF((P29="Terminé")*AND(E29="Agriculture"),N29,0)</f>
        <v>0</v>
      </c>
      <c r="U29" s="138">
        <f t="shared" ref="U29:U30" si="40">IF((P29="Terminé")*AND(E29="Industrie"), N29,0)</f>
        <v>0</v>
      </c>
      <c r="V29" s="138">
        <f t="shared" ref="V29:V30" si="41">IF((P29="Terminé")*AND(E29="Logement"),N29,0)</f>
        <v>0</v>
      </c>
      <c r="W29" s="138">
        <f t="shared" ref="W29:W30" si="42">IF((P29="Terminé")*AND(E29="Tertiaire"),N29,0)</f>
        <v>0</v>
      </c>
      <c r="X29" s="138">
        <f t="shared" ref="X29:X30" si="43">IF((P29="Terminé")*AND(E29="Transport"),N29,0)</f>
        <v>0</v>
      </c>
      <c r="Y29" s="138">
        <f t="shared" ref="Y29:Y30" si="44">IF((P29="Terminé")*AND(E29="Communal"),N29,0)</f>
        <v>0</v>
      </c>
      <c r="AA29" s="287">
        <f>IF(('Synthèse PER'!P29="A faire")*AND('Synthèse PER'!F29="Agriculture"),'Synthèse PER'!H29,0)</f>
        <v>0</v>
      </c>
      <c r="AB29" s="287">
        <f>IF(('Synthèse PER'!P29="A faire")*AND('Synthèse PER'!F29="Industrie"),'Synthèse PER'!H29,0)</f>
        <v>0</v>
      </c>
      <c r="AC29" s="287">
        <f>IF(('Synthèse PER'!P29="A faire")*AND('Synthèse PER'!F29="Citoyen"),'Synthèse PER'!H29,0)</f>
        <v>0</v>
      </c>
      <c r="AD29" s="287">
        <f>IF(('Synthèse PER'!P29="A faire")*AND('Synthèse PER'!F29="IDELUX"),'Synthèse PER'!H29,0)</f>
        <v>0</v>
      </c>
      <c r="AE29" s="290">
        <f>IF(('Synthèse PER'!P29="A faire")*AND('Synthèse PER'!F29="AC MESSANCY"),'Synthèse PER'!H29,0)</f>
        <v>1000</v>
      </c>
      <c r="AF29" s="287">
        <f>IF(('Synthèse PER'!P29="A faire")*AND('Synthèse PER'!F29="Tertiaire"),'Synthèse PER'!H29,0)</f>
        <v>0</v>
      </c>
      <c r="AG29" s="288"/>
      <c r="AH29" s="290">
        <f>IF(('Synthèse PER'!P29="A faire")*AND('Synthèse PER'!F29="Agriculture"),'Synthèse PER'!J29,0)</f>
        <v>0</v>
      </c>
      <c r="AI29" s="290">
        <f>IF(('Synthèse PER'!P29="A faire")*AND('Synthèse PER'!F29="Industrie"),'Synthèse PER'!J29,0)</f>
        <v>0</v>
      </c>
      <c r="AJ29" s="290">
        <f>IF(('Synthèse PER'!P29="A faire")*AND('Synthèse PER'!F29="Citoyen"),'Synthèse PER'!J29,0)</f>
        <v>0</v>
      </c>
      <c r="AK29" s="290">
        <f>IF(('Synthèse PER'!P29="A faire")*AND('Synthèse PER'!F29="IDELUX"),'Synthèse PER'!J29,0)</f>
        <v>0</v>
      </c>
      <c r="AL29" s="290">
        <f>IF(('Synthèse PER'!P29="A faire")*AND('Synthèse PER'!F29="AC MESSANCY"),'Synthèse PER'!J29,0)</f>
        <v>0</v>
      </c>
      <c r="AM29" s="290">
        <f>IF(('Synthèse PER'!P29="A faire")*AND('Synthèse PER'!F29="Tertiaire"),'Synthèse PER'!J29,0)</f>
        <v>0</v>
      </c>
      <c r="AN29" s="288"/>
      <c r="AO29" s="290">
        <f>IF(('Synthèse PER'!P29="A faire")*AND('Synthèse PER'!E29="Territoire"),'Synthèse PER'!H29,0)</f>
        <v>0</v>
      </c>
      <c r="AP29" s="290">
        <f>IF(('Synthèse PER'!P29="A faire")*AND('Synthèse PER'!E29="Agriculture"),'Synthèse PER'!H29,0)</f>
        <v>0</v>
      </c>
      <c r="AQ29" s="290">
        <f>IF(('Synthèse PER'!P29="A faire")*AND('Synthèse PER'!E29="Industrie"),'Synthèse PER'!H29,0)</f>
        <v>0</v>
      </c>
      <c r="AR29" s="290">
        <f>IF(('Synthèse PER'!P29="A faire")*AND('Synthèse PER'!E29="Logement"),'Synthèse PER'!H29,0)</f>
        <v>1000</v>
      </c>
      <c r="AS29" s="290">
        <f>IF(('Synthèse PER'!P29="A faire")*AND('Synthèse PER'!E29="Tertiaire"),'Synthèse PER'!H29,0)</f>
        <v>0</v>
      </c>
      <c r="AT29" s="290">
        <f>IF(('Synthèse PER'!P29="A faire")*AND('Synthèse PER'!E29="Transport"),'Synthèse PER'!H29,0)</f>
        <v>0</v>
      </c>
      <c r="AU29" s="290">
        <f>IF(('Synthèse PER'!P29="A faire")*AND('Synthèse PER'!E29="Communal"),'Synthèse PER'!H29,0)</f>
        <v>0</v>
      </c>
      <c r="AV29" s="288"/>
      <c r="AW29" s="290">
        <f>IF(('Synthèse PER'!P29="A faire")*AND('Synthèse PER'!E29="Territoire"),'Synthèse PER'!J29,0)</f>
        <v>0</v>
      </c>
      <c r="AX29" s="290">
        <f>IF(('Synthèse PER'!P29="A faire")*AND('Synthèse PER'!E29="Agriculture"),'Synthèse PER'!J29,0)</f>
        <v>0</v>
      </c>
      <c r="AY29" s="290">
        <f>IF(('Synthèse PER'!P29="A faire")*AND('Synthèse PER'!E29="Industrie"),'Synthèse PER'!J29,0)</f>
        <v>0</v>
      </c>
      <c r="AZ29" s="290">
        <f>IF(('Synthèse PER'!P29="A faire")*AND('Synthèse PER'!E29="Logement"),'Synthèse PER'!J29,0)</f>
        <v>0</v>
      </c>
      <c r="BA29" s="290">
        <f>IF(('Synthèse PER'!P29="A faire")*AND('Synthèse PER'!E29="Tertiaire"),'Synthèse PER'!J29,0)</f>
        <v>0</v>
      </c>
      <c r="BB29" s="290">
        <f>IF(('Synthèse PER'!P29="A faire")*AND('Synthèse PER'!E29="Transport"),'Synthèse PER'!J29,0)</f>
        <v>0</v>
      </c>
      <c r="BC29" s="290">
        <f>IF(('Synthèse PER'!P29="A faire")*AND('Synthèse PER'!E29="Communal"),'Synthèse PER'!J29,0)</f>
        <v>0</v>
      </c>
      <c r="BD29" s="288"/>
      <c r="BE29" s="290">
        <f>IF(('Synthèse PER'!P29="A faire")*AND('Synthèse PER'!E29="Territoire"),'Synthèse PER'!K29,0)</f>
        <v>0</v>
      </c>
      <c r="BF29" s="290">
        <f>IF(('Synthèse PER'!P29="A faire")*AND('Synthèse PER'!E29="Agriculture"),'Synthèse PER'!K29,0)</f>
        <v>0</v>
      </c>
      <c r="BG29" s="290">
        <f>IF(('Synthèse PER'!P29="A faire")*AND('Synthèse PER'!E29="Industrie"),'Synthèse PER'!K29,0)</f>
        <v>0</v>
      </c>
      <c r="BH29" s="290">
        <f>IF(('Synthèse PER'!P29="A faire")*AND('Synthèse PER'!E29="Logement"),'Synthèse PER'!K29,0)</f>
        <v>1</v>
      </c>
      <c r="BI29" s="290">
        <f>IF(('Synthèse PER'!P29="A faire")*AND('Synthèse PER'!E29="Tertiaire"),'Synthèse PER'!K29,0)</f>
        <v>0</v>
      </c>
      <c r="BJ29" s="290">
        <f>IF(('Synthèse PER'!P29="A faire")*AND('Synthèse PER'!E29="Transport"),'Synthèse PER'!K29,0)</f>
        <v>0</v>
      </c>
      <c r="BK29" s="290">
        <f>IF(('Synthèse PER'!P29="A faire")*AND('Synthèse PER'!E29="Communal"),'Synthèse PER'!K29,0)</f>
        <v>0</v>
      </c>
      <c r="BL29" s="288"/>
      <c r="BM29" s="290">
        <f>IF(('Synthèse PER'!P29="A faire")*AND('Synthèse PER'!E29="Territoire"),'Synthèse PER'!L29,0)</f>
        <v>0</v>
      </c>
      <c r="BN29" s="290">
        <f>IF(('Synthèse PER'!P29="A faire")*AND('Synthèse PER'!E29="Agriculture"),'Synthèse PER'!L29,0)</f>
        <v>0</v>
      </c>
      <c r="BO29" s="290">
        <f>IF(('Synthèse PER'!P29="A faire")*AND('Synthèse PER'!E29="Industrie"),'Synthèse PER'!L29,0)</f>
        <v>0</v>
      </c>
      <c r="BP29" s="290">
        <f>IF(('Synthèse PER'!P29="A faire")*AND('Synthèse PER'!E29="Logement"),'Synthèse PER'!L29,0)</f>
        <v>0</v>
      </c>
      <c r="BQ29" s="290">
        <f>IF(('Synthèse PER'!P29="A faire")*AND('Synthèse PER'!E29="Tertiaire"),'Synthèse PER'!L29,0)</f>
        <v>0</v>
      </c>
      <c r="BR29" s="290">
        <f>IF(('Synthèse PER'!P29="A faire")*AND('Synthèse PER'!E29="Transport"),'Synthèse PER'!L29,0)</f>
        <v>0</v>
      </c>
      <c r="BS29" s="290">
        <f>IF(('Synthèse PER'!P29="A faire")*AND('Synthèse PER'!E29="Communal"),'Synthèse PER'!L29,0)</f>
        <v>0</v>
      </c>
      <c r="BT29" s="290"/>
    </row>
    <row r="30" spans="1:72" s="139" customFormat="1" x14ac:dyDescent="0.25">
      <c r="A30" s="370" t="s">
        <v>1022</v>
      </c>
      <c r="B30" s="578" t="str">
        <f>'ADO-39'!B$3:E$3</f>
        <v>Mobilisation</v>
      </c>
      <c r="C30" s="419" t="str">
        <f>'ADO-39'!$B$8</f>
        <v>Citoyens</v>
      </c>
      <c r="D30" s="133" t="str">
        <f>'ADO-39'!$B$9</f>
        <v>Objectif 0 déchet-0 pesticide</v>
      </c>
      <c r="E30" s="133" t="str">
        <f>'ADO-39'!$B$4</f>
        <v>Logement</v>
      </c>
      <c r="F30" s="133" t="str">
        <f>'ADO-39'!$B$12</f>
        <v>AC MESSANCY</v>
      </c>
      <c r="G30" s="133" t="str">
        <f>'ADO-39'!$B$6</f>
        <v>Fonds propres</v>
      </c>
      <c r="H30" s="134">
        <f>'ADO-39'!$B$17</f>
        <v>5000</v>
      </c>
      <c r="I30" s="133" t="str">
        <f>'ADO-39'!$B$7</f>
        <v>Subs RW</v>
      </c>
      <c r="J30" s="134">
        <f>'ADO-39'!$B$18</f>
        <v>0</v>
      </c>
      <c r="K30" s="134">
        <f>'ADO-39'!$B$21</f>
        <v>1</v>
      </c>
      <c r="L30" s="134">
        <f>'ADO-39'!$B$22</f>
        <v>0</v>
      </c>
      <c r="M30" s="135">
        <f>'ADO-39'!$B$24</f>
        <v>5000</v>
      </c>
      <c r="N30" s="135">
        <f>'ADO-39'!$B$19/1000</f>
        <v>0</v>
      </c>
      <c r="O30" s="136">
        <f t="shared" si="36"/>
        <v>0</v>
      </c>
      <c r="P30" s="137" t="str">
        <f>'ADO-39'!$B$5</f>
        <v>A faire</v>
      </c>
      <c r="Q30" s="140">
        <f>'ADO-39'!$B$16</f>
        <v>2022</v>
      </c>
      <c r="R30" s="283" t="str">
        <f t="shared" si="37"/>
        <v/>
      </c>
      <c r="S30" s="138">
        <f t="shared" si="38"/>
        <v>0</v>
      </c>
      <c r="T30" s="138">
        <f t="shared" si="39"/>
        <v>0</v>
      </c>
      <c r="U30" s="138">
        <f t="shared" si="40"/>
        <v>0</v>
      </c>
      <c r="V30" s="138">
        <f t="shared" si="41"/>
        <v>0</v>
      </c>
      <c r="W30" s="138">
        <f t="shared" si="42"/>
        <v>0</v>
      </c>
      <c r="X30" s="138">
        <f t="shared" si="43"/>
        <v>0</v>
      </c>
      <c r="Y30" s="138">
        <f t="shared" si="44"/>
        <v>0</v>
      </c>
      <c r="AA30" s="287">
        <f>IF(('Synthèse PER'!P30="A faire")*AND('Synthèse PER'!F30="Agriculture"),'Synthèse PER'!H30,0)</f>
        <v>0</v>
      </c>
      <c r="AB30" s="287">
        <f>IF(('Synthèse PER'!P30="A faire")*AND('Synthèse PER'!F30="Industrie"),'Synthèse PER'!H30,0)</f>
        <v>0</v>
      </c>
      <c r="AC30" s="287">
        <f>IF(('Synthèse PER'!P30="A faire")*AND('Synthèse PER'!F30="Citoyen"),'Synthèse PER'!H30,0)</f>
        <v>0</v>
      </c>
      <c r="AD30" s="287">
        <f>IF(('Synthèse PER'!P30="A faire")*AND('Synthèse PER'!F30="IDELUX"),'Synthèse PER'!H30,0)</f>
        <v>0</v>
      </c>
      <c r="AE30" s="290">
        <f>IF(('Synthèse PER'!P30="A faire")*AND('Synthèse PER'!F30="AC MESSANCY"),'Synthèse PER'!H30,0)</f>
        <v>5000</v>
      </c>
      <c r="AF30" s="287">
        <f>IF(('Synthèse PER'!P30="A faire")*AND('Synthèse PER'!F30="Tertiaire"),'Synthèse PER'!H30,0)</f>
        <v>0</v>
      </c>
      <c r="AG30" s="288"/>
      <c r="AH30" s="290">
        <f>IF(('Synthèse PER'!P30="A faire")*AND('Synthèse PER'!F30="Agriculture"),'Synthèse PER'!J30,0)</f>
        <v>0</v>
      </c>
      <c r="AI30" s="290">
        <f>IF(('Synthèse PER'!P30="A faire")*AND('Synthèse PER'!F30="Industrie"),'Synthèse PER'!J30,0)</f>
        <v>0</v>
      </c>
      <c r="AJ30" s="290">
        <f>IF(('Synthèse PER'!P30="A faire")*AND('Synthèse PER'!F30="Citoyen"),'Synthèse PER'!J30,0)</f>
        <v>0</v>
      </c>
      <c r="AK30" s="290">
        <f>IF(('Synthèse PER'!P30="A faire")*AND('Synthèse PER'!F30="IDELUX"),'Synthèse PER'!J30,0)</f>
        <v>0</v>
      </c>
      <c r="AL30" s="290">
        <f>IF(('Synthèse PER'!P30="A faire")*AND('Synthèse PER'!F30="AC MESSANCY"),'Synthèse PER'!J30,0)</f>
        <v>0</v>
      </c>
      <c r="AM30" s="290">
        <f>IF(('Synthèse PER'!P30="A faire")*AND('Synthèse PER'!F30="Tertiaire"),'Synthèse PER'!J30,0)</f>
        <v>0</v>
      </c>
      <c r="AN30" s="288"/>
      <c r="AO30" s="290">
        <f>IF(('Synthèse PER'!P30="A faire")*AND('Synthèse PER'!E30="Territoire"),'Synthèse PER'!H30,0)</f>
        <v>0</v>
      </c>
      <c r="AP30" s="290">
        <f>IF(('Synthèse PER'!P30="A faire")*AND('Synthèse PER'!E30="Agriculture"),'Synthèse PER'!H30,0)</f>
        <v>0</v>
      </c>
      <c r="AQ30" s="290">
        <f>IF(('Synthèse PER'!P30="A faire")*AND('Synthèse PER'!E30="Industrie"),'Synthèse PER'!H30,0)</f>
        <v>0</v>
      </c>
      <c r="AR30" s="290">
        <f>IF(('Synthèse PER'!P30="A faire")*AND('Synthèse PER'!E30="Logement"),'Synthèse PER'!H30,0)</f>
        <v>5000</v>
      </c>
      <c r="AS30" s="290">
        <f>IF(('Synthèse PER'!P30="A faire")*AND('Synthèse PER'!E30="Tertiaire"),'Synthèse PER'!H30,0)</f>
        <v>0</v>
      </c>
      <c r="AT30" s="290">
        <f>IF(('Synthèse PER'!P30="A faire")*AND('Synthèse PER'!E30="Transport"),'Synthèse PER'!H30,0)</f>
        <v>0</v>
      </c>
      <c r="AU30" s="290">
        <f>IF(('Synthèse PER'!P30="A faire")*AND('Synthèse PER'!E30="Communal"),'Synthèse PER'!H30,0)</f>
        <v>0</v>
      </c>
      <c r="AV30" s="288"/>
      <c r="AW30" s="290">
        <f>IF(('Synthèse PER'!P30="A faire")*AND('Synthèse PER'!E30="Territoire"),'Synthèse PER'!J30,0)</f>
        <v>0</v>
      </c>
      <c r="AX30" s="290">
        <f>IF(('Synthèse PER'!P30="A faire")*AND('Synthèse PER'!E30="Agriculture"),'Synthèse PER'!J30,0)</f>
        <v>0</v>
      </c>
      <c r="AY30" s="290">
        <f>IF(('Synthèse PER'!P30="A faire")*AND('Synthèse PER'!E30="Industrie"),'Synthèse PER'!J30,0)</f>
        <v>0</v>
      </c>
      <c r="AZ30" s="290">
        <f>IF(('Synthèse PER'!P30="A faire")*AND('Synthèse PER'!E30="Logement"),'Synthèse PER'!J30,0)</f>
        <v>0</v>
      </c>
      <c r="BA30" s="290">
        <f>IF(('Synthèse PER'!P30="A faire")*AND('Synthèse PER'!E30="Tertiaire"),'Synthèse PER'!J30,0)</f>
        <v>0</v>
      </c>
      <c r="BB30" s="290">
        <f>IF(('Synthèse PER'!P30="A faire")*AND('Synthèse PER'!E30="Transport"),'Synthèse PER'!J30,0)</f>
        <v>0</v>
      </c>
      <c r="BC30" s="290">
        <f>IF(('Synthèse PER'!P30="A faire")*AND('Synthèse PER'!E30="Communal"),'Synthèse PER'!J30,0)</f>
        <v>0</v>
      </c>
      <c r="BD30" s="288"/>
      <c r="BE30" s="290">
        <f>IF(('Synthèse PER'!P30="A faire")*AND('Synthèse PER'!E30="Territoire"),'Synthèse PER'!K30,0)</f>
        <v>0</v>
      </c>
      <c r="BF30" s="290">
        <f>IF(('Synthèse PER'!P30="A faire")*AND('Synthèse PER'!E30="Agriculture"),'Synthèse PER'!K30,0)</f>
        <v>0</v>
      </c>
      <c r="BG30" s="290">
        <f>IF(('Synthèse PER'!P30="A faire")*AND('Synthèse PER'!E30="Industrie"),'Synthèse PER'!K30,0)</f>
        <v>0</v>
      </c>
      <c r="BH30" s="290">
        <f>IF(('Synthèse PER'!P30="A faire")*AND('Synthèse PER'!E30="Logement"),'Synthèse PER'!K30,0)</f>
        <v>1</v>
      </c>
      <c r="BI30" s="290">
        <f>IF(('Synthèse PER'!P30="A faire")*AND('Synthèse PER'!E30="Tertiaire"),'Synthèse PER'!K30,0)</f>
        <v>0</v>
      </c>
      <c r="BJ30" s="290">
        <f>IF(('Synthèse PER'!P30="A faire")*AND('Synthèse PER'!E30="Transport"),'Synthèse PER'!K30,0)</f>
        <v>0</v>
      </c>
      <c r="BK30" s="290">
        <f>IF(('Synthèse PER'!P30="A faire")*AND('Synthèse PER'!E30="Communal"),'Synthèse PER'!K30,0)</f>
        <v>0</v>
      </c>
      <c r="BL30" s="288"/>
      <c r="BM30" s="290">
        <f>IF(('Synthèse PER'!P30="A faire")*AND('Synthèse PER'!E30="Territoire"),'Synthèse PER'!L30,0)</f>
        <v>0</v>
      </c>
      <c r="BN30" s="290">
        <f>IF(('Synthèse PER'!P30="A faire")*AND('Synthèse PER'!E30="Agriculture"),'Synthèse PER'!L30,0)</f>
        <v>0</v>
      </c>
      <c r="BO30" s="290">
        <f>IF(('Synthèse PER'!P30="A faire")*AND('Synthèse PER'!E30="Industrie"),'Synthèse PER'!L30,0)</f>
        <v>0</v>
      </c>
      <c r="BP30" s="290">
        <f>IF(('Synthèse PER'!P30="A faire")*AND('Synthèse PER'!E30="Logement"),'Synthèse PER'!L30,0)</f>
        <v>0</v>
      </c>
      <c r="BQ30" s="290">
        <f>IF(('Synthèse PER'!P30="A faire")*AND('Synthèse PER'!E30="Tertiaire"),'Synthèse PER'!L30,0)</f>
        <v>0</v>
      </c>
      <c r="BR30" s="290">
        <f>IF(('Synthèse PER'!P30="A faire")*AND('Synthèse PER'!E30="Transport"),'Synthèse PER'!L30,0)</f>
        <v>0</v>
      </c>
      <c r="BS30" s="290">
        <f>IF(('Synthèse PER'!P30="A faire")*AND('Synthèse PER'!E30="Communal"),'Synthèse PER'!L30,0)</f>
        <v>0</v>
      </c>
      <c r="BT30" s="290"/>
    </row>
    <row r="31" spans="1:72" s="139" customFormat="1" x14ac:dyDescent="0.25">
      <c r="A31" s="370" t="s">
        <v>779</v>
      </c>
      <c r="B31" s="414" t="str">
        <f>'ADO-40'!B$3:E$3</f>
        <v>Formation</v>
      </c>
      <c r="C31" s="419" t="str">
        <f>'ADO-40'!$B$8</f>
        <v>Tous publics</v>
      </c>
      <c r="D31" s="133" t="str">
        <f>'ADO-40'!$B$9</f>
        <v>Formation à l'isolation</v>
      </c>
      <c r="E31" s="133" t="str">
        <f>'ADO-40'!$B$4</f>
        <v>Territoire</v>
      </c>
      <c r="F31" s="133" t="str">
        <f>'ADO-40'!$B$12</f>
        <v>AC MESSANCY</v>
      </c>
      <c r="G31" s="133" t="str">
        <f>'ADO-40'!$B$6</f>
        <v>Fonds propres</v>
      </c>
      <c r="H31" s="134">
        <f>'ADO-40'!$B$17</f>
        <v>2000</v>
      </c>
      <c r="I31" s="133" t="str">
        <f>'ADO-40'!$B$7</f>
        <v>Néant</v>
      </c>
      <c r="J31" s="134">
        <f>'ADO-40'!$B$18</f>
        <v>0</v>
      </c>
      <c r="K31" s="134">
        <f>'ADO-40'!$B$21</f>
        <v>1</v>
      </c>
      <c r="L31" s="134">
        <f>'ADO-40'!$B$22</f>
        <v>0</v>
      </c>
      <c r="M31" s="135">
        <f>'ADO-40'!$B$24</f>
        <v>2000</v>
      </c>
      <c r="N31" s="135">
        <f>'ADO-40'!$B$19/1000</f>
        <v>0</v>
      </c>
      <c r="O31" s="136">
        <f t="shared" si="25"/>
        <v>0</v>
      </c>
      <c r="P31" s="137" t="str">
        <f>'ADO-40'!$B$5</f>
        <v>A faire</v>
      </c>
      <c r="Q31" s="140">
        <f>'ADO-40'!$B$16</f>
        <v>2022</v>
      </c>
      <c r="R31" s="283" t="str">
        <f t="shared" si="26"/>
        <v/>
      </c>
      <c r="S31" s="138">
        <f t="shared" si="9"/>
        <v>0</v>
      </c>
      <c r="T31" s="138">
        <f t="shared" si="10"/>
        <v>0</v>
      </c>
      <c r="U31" s="138">
        <f t="shared" si="11"/>
        <v>0</v>
      </c>
      <c r="V31" s="138">
        <f t="shared" si="12"/>
        <v>0</v>
      </c>
      <c r="W31" s="138">
        <f t="shared" si="13"/>
        <v>0</v>
      </c>
      <c r="X31" s="138">
        <f t="shared" si="14"/>
        <v>0</v>
      </c>
      <c r="Y31" s="138">
        <f t="shared" si="15"/>
        <v>0</v>
      </c>
      <c r="AA31" s="287">
        <f>IF(('Synthèse PER'!P31="A faire")*AND('Synthèse PER'!F31="Agriculture"),'Synthèse PER'!H31,0)</f>
        <v>0</v>
      </c>
      <c r="AB31" s="287">
        <f>IF(('Synthèse PER'!P31="A faire")*AND('Synthèse PER'!F31="Industrie"),'Synthèse PER'!H31,0)</f>
        <v>0</v>
      </c>
      <c r="AC31" s="287">
        <f>IF(('Synthèse PER'!P31="A faire")*AND('Synthèse PER'!F31="Citoyen"),'Synthèse PER'!H31,0)</f>
        <v>0</v>
      </c>
      <c r="AD31" s="287">
        <f>IF(('Synthèse PER'!P31="A faire")*AND('Synthèse PER'!F31="IDELUX"),'Synthèse PER'!H31,0)</f>
        <v>0</v>
      </c>
      <c r="AE31" s="290">
        <f>IF(('Synthèse PER'!P31="A faire")*AND('Synthèse PER'!F31="AC MESSANCY"),'Synthèse PER'!H31,0)</f>
        <v>2000</v>
      </c>
      <c r="AF31" s="287">
        <f>IF(('Synthèse PER'!P31="A faire")*AND('Synthèse PER'!F31="Tertiaire"),'Synthèse PER'!H31,0)</f>
        <v>0</v>
      </c>
      <c r="AG31" s="288"/>
      <c r="AH31" s="290">
        <f>IF(('Synthèse PER'!P31="A faire")*AND('Synthèse PER'!F31="Agriculture"),'Synthèse PER'!J31,0)</f>
        <v>0</v>
      </c>
      <c r="AI31" s="290">
        <f>IF(('Synthèse PER'!P31="A faire")*AND('Synthèse PER'!F31="Industrie"),'Synthèse PER'!J31,0)</f>
        <v>0</v>
      </c>
      <c r="AJ31" s="290">
        <f>IF(('Synthèse PER'!P31="A faire")*AND('Synthèse PER'!F31="Citoyen"),'Synthèse PER'!J31,0)</f>
        <v>0</v>
      </c>
      <c r="AK31" s="290">
        <f>IF(('Synthèse PER'!P31="A faire")*AND('Synthèse PER'!F31="IDELUX"),'Synthèse PER'!J31,0)</f>
        <v>0</v>
      </c>
      <c r="AL31" s="290">
        <f>IF(('Synthèse PER'!P31="A faire")*AND('Synthèse PER'!F31="AC MESSANCY"),'Synthèse PER'!J31,0)</f>
        <v>0</v>
      </c>
      <c r="AM31" s="290">
        <f>IF(('Synthèse PER'!P31="A faire")*AND('Synthèse PER'!F31="Tertiaire"),'Synthèse PER'!J31,0)</f>
        <v>0</v>
      </c>
      <c r="AN31" s="288"/>
      <c r="AO31" s="290">
        <f>IF(('Synthèse PER'!P31="A faire")*AND('Synthèse PER'!E31="Territoire"),'Synthèse PER'!H31,0)</f>
        <v>2000</v>
      </c>
      <c r="AP31" s="290">
        <f>IF(('Synthèse PER'!P31="A faire")*AND('Synthèse PER'!E31="Agriculture"),'Synthèse PER'!H31,0)</f>
        <v>0</v>
      </c>
      <c r="AQ31" s="290">
        <f>IF(('Synthèse PER'!P31="A faire")*AND('Synthèse PER'!E31="Industrie"),'Synthèse PER'!H31,0)</f>
        <v>0</v>
      </c>
      <c r="AR31" s="290">
        <f>IF(('Synthèse PER'!P31="A faire")*AND('Synthèse PER'!E31="Logement"),'Synthèse PER'!H31,0)</f>
        <v>0</v>
      </c>
      <c r="AS31" s="290">
        <f>IF(('Synthèse PER'!P31="A faire")*AND('Synthèse PER'!E31="Tertiaire"),'Synthèse PER'!H31,0)</f>
        <v>0</v>
      </c>
      <c r="AT31" s="290">
        <f>IF(('Synthèse PER'!P31="A faire")*AND('Synthèse PER'!E31="Transport"),'Synthèse PER'!H31,0)</f>
        <v>0</v>
      </c>
      <c r="AU31" s="290">
        <f>IF(('Synthèse PER'!P31="A faire")*AND('Synthèse PER'!E31="Communal"),'Synthèse PER'!H31,0)</f>
        <v>0</v>
      </c>
      <c r="AV31" s="288"/>
      <c r="AW31" s="290">
        <f>IF(('Synthèse PER'!P31="A faire")*AND('Synthèse PER'!E31="Territoire"),'Synthèse PER'!J31,0)</f>
        <v>0</v>
      </c>
      <c r="AX31" s="290">
        <f>IF(('Synthèse PER'!P31="A faire")*AND('Synthèse PER'!E31="Agriculture"),'Synthèse PER'!J31,0)</f>
        <v>0</v>
      </c>
      <c r="AY31" s="290">
        <f>IF(('Synthèse PER'!P31="A faire")*AND('Synthèse PER'!E31="Industrie"),'Synthèse PER'!J31,0)</f>
        <v>0</v>
      </c>
      <c r="AZ31" s="290">
        <f>IF(('Synthèse PER'!P31="A faire")*AND('Synthèse PER'!E31="Logement"),'Synthèse PER'!J31,0)</f>
        <v>0</v>
      </c>
      <c r="BA31" s="290">
        <f>IF(('Synthèse PER'!P31="A faire")*AND('Synthèse PER'!E31="Tertiaire"),'Synthèse PER'!J31,0)</f>
        <v>0</v>
      </c>
      <c r="BB31" s="290">
        <f>IF(('Synthèse PER'!P31="A faire")*AND('Synthèse PER'!E31="Transport"),'Synthèse PER'!J31,0)</f>
        <v>0</v>
      </c>
      <c r="BC31" s="290">
        <f>IF(('Synthèse PER'!P31="A faire")*AND('Synthèse PER'!E31="Communal"),'Synthèse PER'!J31,0)</f>
        <v>0</v>
      </c>
      <c r="BD31" s="288"/>
      <c r="BE31" s="290">
        <f>IF(('Synthèse PER'!P31="A faire")*AND('Synthèse PER'!E31="Territoire"),'Synthèse PER'!K31,0)</f>
        <v>1</v>
      </c>
      <c r="BF31" s="290">
        <f>IF(('Synthèse PER'!P31="A faire")*AND('Synthèse PER'!E31="Agriculture"),'Synthèse PER'!K31,0)</f>
        <v>0</v>
      </c>
      <c r="BG31" s="290">
        <f>IF(('Synthèse PER'!P31="A faire")*AND('Synthèse PER'!E31="Industrie"),'Synthèse PER'!K31,0)</f>
        <v>0</v>
      </c>
      <c r="BH31" s="290">
        <f>IF(('Synthèse PER'!P31="A faire")*AND('Synthèse PER'!E31="Logement"),'Synthèse PER'!K31,0)</f>
        <v>0</v>
      </c>
      <c r="BI31" s="290">
        <f>IF(('Synthèse PER'!P31="A faire")*AND('Synthèse PER'!E31="Tertiaire"),'Synthèse PER'!K31,0)</f>
        <v>0</v>
      </c>
      <c r="BJ31" s="290">
        <f>IF(('Synthèse PER'!P31="A faire")*AND('Synthèse PER'!E31="Transport"),'Synthèse PER'!K31,0)</f>
        <v>0</v>
      </c>
      <c r="BK31" s="290">
        <f>IF(('Synthèse PER'!P31="A faire")*AND('Synthèse PER'!E31="Communal"),'Synthèse PER'!K31,0)</f>
        <v>0</v>
      </c>
      <c r="BL31" s="288"/>
      <c r="BM31" s="290">
        <f>IF(('Synthèse PER'!P31="A faire")*AND('Synthèse PER'!E31="Territoire"),'Synthèse PER'!L31,0)</f>
        <v>0</v>
      </c>
      <c r="BN31" s="290">
        <f>IF(('Synthèse PER'!P31="A faire")*AND('Synthèse PER'!E31="Agriculture"),'Synthèse PER'!L31,0)</f>
        <v>0</v>
      </c>
      <c r="BO31" s="290">
        <f>IF(('Synthèse PER'!P31="A faire")*AND('Synthèse PER'!E31="Industrie"),'Synthèse PER'!L31,0)</f>
        <v>0</v>
      </c>
      <c r="BP31" s="290">
        <f>IF(('Synthèse PER'!P31="A faire")*AND('Synthèse PER'!E31="Logement"),'Synthèse PER'!L31,0)</f>
        <v>0</v>
      </c>
      <c r="BQ31" s="290">
        <f>IF(('Synthèse PER'!P31="A faire")*AND('Synthèse PER'!E31="Tertiaire"),'Synthèse PER'!L31,0)</f>
        <v>0</v>
      </c>
      <c r="BR31" s="290">
        <f>IF(('Synthèse PER'!P31="A faire")*AND('Synthèse PER'!E31="Transport"),'Synthèse PER'!L31,0)</f>
        <v>0</v>
      </c>
      <c r="BS31" s="290">
        <f>IF(('Synthèse PER'!P31="A faire")*AND('Synthèse PER'!E31="Communal"),'Synthèse PER'!L31,0)</f>
        <v>0</v>
      </c>
      <c r="BT31" s="290">
        <f>IF(('Synthèse PER'!Q31="A faire")*AND('Synthèse PER'!F31="Communal"),'Synthèse PER'!M31,0)</f>
        <v>0</v>
      </c>
    </row>
    <row r="32" spans="1:72" s="139" customFormat="1" x14ac:dyDescent="0.25">
      <c r="A32" s="370" t="s">
        <v>780</v>
      </c>
      <c r="B32" s="414" t="str">
        <f>'ADO-41'!B$3:E$3</f>
        <v>Formation</v>
      </c>
      <c r="C32" s="419" t="str">
        <f>'ADO-41'!$B$8</f>
        <v>Employés communaux</v>
      </c>
      <c r="D32" s="133" t="str">
        <f>'ADO-41'!$B$9</f>
        <v>Formation Eco Guide - Energie</v>
      </c>
      <c r="E32" s="133" t="str">
        <f>'ADO-41'!$B$4</f>
        <v>Territoire</v>
      </c>
      <c r="F32" s="133" t="str">
        <f>'ADO-41'!$B$12</f>
        <v>AC MESSANCY</v>
      </c>
      <c r="G32" s="133" t="str">
        <f>'ADO-41'!$B$6</f>
        <v>Fonds propres</v>
      </c>
      <c r="H32" s="134">
        <f>'ADO-41'!$B$17</f>
        <v>2000</v>
      </c>
      <c r="I32" s="133" t="str">
        <f>'ADO-41'!$B$7</f>
        <v>Néant</v>
      </c>
      <c r="J32" s="134">
        <f>'ADO-41'!$B$18</f>
        <v>0</v>
      </c>
      <c r="K32" s="134">
        <f>'ADO-41'!$B$21</f>
        <v>1</v>
      </c>
      <c r="L32" s="134">
        <f>'ADO-41'!$B$22</f>
        <v>0</v>
      </c>
      <c r="M32" s="135">
        <f>'ADO-41'!$B$24</f>
        <v>2000</v>
      </c>
      <c r="N32" s="135">
        <f>'ADO-41'!$B$19/1000</f>
        <v>0</v>
      </c>
      <c r="O32" s="136">
        <f t="shared" si="25"/>
        <v>0</v>
      </c>
      <c r="P32" s="137" t="str">
        <f>'ADO-41'!$B$5</f>
        <v>A faire</v>
      </c>
      <c r="Q32" s="140">
        <f>'ADO-41'!$B$16</f>
        <v>2022</v>
      </c>
      <c r="R32" s="283" t="str">
        <f t="shared" si="26"/>
        <v/>
      </c>
      <c r="S32" s="138">
        <f t="shared" si="9"/>
        <v>0</v>
      </c>
      <c r="T32" s="138">
        <f t="shared" si="10"/>
        <v>0</v>
      </c>
      <c r="U32" s="138">
        <f t="shared" si="11"/>
        <v>0</v>
      </c>
      <c r="V32" s="138">
        <f t="shared" si="12"/>
        <v>0</v>
      </c>
      <c r="W32" s="138">
        <f t="shared" si="13"/>
        <v>0</v>
      </c>
      <c r="X32" s="138">
        <f t="shared" si="14"/>
        <v>0</v>
      </c>
      <c r="Y32" s="138">
        <f t="shared" si="15"/>
        <v>0</v>
      </c>
      <c r="AA32" s="287">
        <f>IF(('Synthèse PER'!P32="A faire")*AND('Synthèse PER'!F32="Agriculture"),'Synthèse PER'!H32,0)</f>
        <v>0</v>
      </c>
      <c r="AB32" s="287">
        <f>IF(('Synthèse PER'!P32="A faire")*AND('Synthèse PER'!F32="Industrie"),'Synthèse PER'!H32,0)</f>
        <v>0</v>
      </c>
      <c r="AC32" s="287">
        <f>IF(('Synthèse PER'!P32="A faire")*AND('Synthèse PER'!F32="Citoyen"),'Synthèse PER'!H32,0)</f>
        <v>0</v>
      </c>
      <c r="AD32" s="287">
        <f>IF(('Synthèse PER'!P32="A faire")*AND('Synthèse PER'!F32="IDELUX"),'Synthèse PER'!H32,0)</f>
        <v>0</v>
      </c>
      <c r="AE32" s="290">
        <f>IF(('Synthèse PER'!P32="A faire")*AND('Synthèse PER'!F32="AC MESSANCY"),'Synthèse PER'!H32,0)</f>
        <v>2000</v>
      </c>
      <c r="AF32" s="287">
        <f>IF(('Synthèse PER'!P32="A faire")*AND('Synthèse PER'!F32="Tertiaire"),'Synthèse PER'!H32,0)</f>
        <v>0</v>
      </c>
      <c r="AG32" s="288"/>
      <c r="AH32" s="290">
        <f>IF(('Synthèse PER'!P32="A faire")*AND('Synthèse PER'!F32="Agriculture"),'Synthèse PER'!J32,0)</f>
        <v>0</v>
      </c>
      <c r="AI32" s="290">
        <f>IF(('Synthèse PER'!P32="A faire")*AND('Synthèse PER'!F32="Industrie"),'Synthèse PER'!J32,0)</f>
        <v>0</v>
      </c>
      <c r="AJ32" s="290">
        <f>IF(('Synthèse PER'!P32="A faire")*AND('Synthèse PER'!F32="Citoyen"),'Synthèse PER'!J32,0)</f>
        <v>0</v>
      </c>
      <c r="AK32" s="290">
        <f>IF(('Synthèse PER'!P32="A faire")*AND('Synthèse PER'!F32="IDELUX"),'Synthèse PER'!J32,0)</f>
        <v>0</v>
      </c>
      <c r="AL32" s="290">
        <f>IF(('Synthèse PER'!P32="A faire")*AND('Synthèse PER'!F32="AC MESSANCY"),'Synthèse PER'!J32,0)</f>
        <v>0</v>
      </c>
      <c r="AM32" s="290">
        <f>IF(('Synthèse PER'!P32="A faire")*AND('Synthèse PER'!F32="Tertiaire"),'Synthèse PER'!J32,0)</f>
        <v>0</v>
      </c>
      <c r="AN32" s="288"/>
      <c r="AO32" s="290">
        <f>IF(('Synthèse PER'!P32="A faire")*AND('Synthèse PER'!E32="Territoire"),'Synthèse PER'!H32,0)</f>
        <v>2000</v>
      </c>
      <c r="AP32" s="290">
        <f>IF(('Synthèse PER'!P32="A faire")*AND('Synthèse PER'!E32="Agriculture"),'Synthèse PER'!H32,0)</f>
        <v>0</v>
      </c>
      <c r="AQ32" s="290">
        <f>IF(('Synthèse PER'!P32="A faire")*AND('Synthèse PER'!E32="Industrie"),'Synthèse PER'!H32,0)</f>
        <v>0</v>
      </c>
      <c r="AR32" s="290">
        <f>IF(('Synthèse PER'!P32="A faire")*AND('Synthèse PER'!E32="Logement"),'Synthèse PER'!H32,0)</f>
        <v>0</v>
      </c>
      <c r="AS32" s="290">
        <f>IF(('Synthèse PER'!P32="A faire")*AND('Synthèse PER'!E32="Tertiaire"),'Synthèse PER'!H32,0)</f>
        <v>0</v>
      </c>
      <c r="AT32" s="290">
        <f>IF(('Synthèse PER'!P32="A faire")*AND('Synthèse PER'!E32="Transport"),'Synthèse PER'!H32,0)</f>
        <v>0</v>
      </c>
      <c r="AU32" s="290">
        <f>IF(('Synthèse PER'!P32="A faire")*AND('Synthèse PER'!E32="Communal"),'Synthèse PER'!H32,0)</f>
        <v>0</v>
      </c>
      <c r="AV32" s="288"/>
      <c r="AW32" s="290">
        <f>IF(('Synthèse PER'!P32="A faire")*AND('Synthèse PER'!E32="Territoire"),'Synthèse PER'!J32,0)</f>
        <v>0</v>
      </c>
      <c r="AX32" s="290">
        <f>IF(('Synthèse PER'!P32="A faire")*AND('Synthèse PER'!E32="Agriculture"),'Synthèse PER'!J32,0)</f>
        <v>0</v>
      </c>
      <c r="AY32" s="290">
        <f>IF(('Synthèse PER'!P32="A faire")*AND('Synthèse PER'!E32="Industrie"),'Synthèse PER'!J32,0)</f>
        <v>0</v>
      </c>
      <c r="AZ32" s="290">
        <f>IF(('Synthèse PER'!P32="A faire")*AND('Synthèse PER'!E32="Logement"),'Synthèse PER'!J32,0)</f>
        <v>0</v>
      </c>
      <c r="BA32" s="290">
        <f>IF(('Synthèse PER'!P32="A faire")*AND('Synthèse PER'!E32="Tertiaire"),'Synthèse PER'!J32,0)</f>
        <v>0</v>
      </c>
      <c r="BB32" s="290">
        <f>IF(('Synthèse PER'!P32="A faire")*AND('Synthèse PER'!E32="Transport"),'Synthèse PER'!J32,0)</f>
        <v>0</v>
      </c>
      <c r="BC32" s="290">
        <f>IF(('Synthèse PER'!P32="A faire")*AND('Synthèse PER'!E32="Communal"),'Synthèse PER'!J32,0)</f>
        <v>0</v>
      </c>
      <c r="BD32" s="288"/>
      <c r="BE32" s="290">
        <f>IF(('Synthèse PER'!P32="A faire")*AND('Synthèse PER'!E32="Territoire"),'Synthèse PER'!K32,0)</f>
        <v>1</v>
      </c>
      <c r="BF32" s="290">
        <f>IF(('Synthèse PER'!P32="A faire")*AND('Synthèse PER'!E32="Agriculture"),'Synthèse PER'!K32,0)</f>
        <v>0</v>
      </c>
      <c r="BG32" s="290">
        <f>IF(('Synthèse PER'!P32="A faire")*AND('Synthèse PER'!E32="Industrie"),'Synthèse PER'!K32,0)</f>
        <v>0</v>
      </c>
      <c r="BH32" s="290">
        <f>IF(('Synthèse PER'!P32="A faire")*AND('Synthèse PER'!E32="Logement"),'Synthèse PER'!K32,0)</f>
        <v>0</v>
      </c>
      <c r="BI32" s="290">
        <f>IF(('Synthèse PER'!P32="A faire")*AND('Synthèse PER'!E32="Tertiaire"),'Synthèse PER'!K32,0)</f>
        <v>0</v>
      </c>
      <c r="BJ32" s="290">
        <f>IF(('Synthèse PER'!P32="A faire")*AND('Synthèse PER'!E32="Transport"),'Synthèse PER'!K32,0)</f>
        <v>0</v>
      </c>
      <c r="BK32" s="290">
        <f>IF(('Synthèse PER'!P32="A faire")*AND('Synthèse PER'!E32="Communal"),'Synthèse PER'!K32,0)</f>
        <v>0</v>
      </c>
      <c r="BL32" s="288"/>
      <c r="BM32" s="290">
        <f>IF(('Synthèse PER'!P32="A faire")*AND('Synthèse PER'!E32="Territoire"),'Synthèse PER'!L32,0)</f>
        <v>0</v>
      </c>
      <c r="BN32" s="290">
        <f>IF(('Synthèse PER'!P32="A faire")*AND('Synthèse PER'!E32="Agriculture"),'Synthèse PER'!L32,0)</f>
        <v>0</v>
      </c>
      <c r="BO32" s="290">
        <f>IF(('Synthèse PER'!P32="A faire")*AND('Synthèse PER'!E32="Industrie"),'Synthèse PER'!L32,0)</f>
        <v>0</v>
      </c>
      <c r="BP32" s="290">
        <f>IF(('Synthèse PER'!P32="A faire")*AND('Synthèse PER'!E32="Logement"),'Synthèse PER'!L32,0)</f>
        <v>0</v>
      </c>
      <c r="BQ32" s="290">
        <f>IF(('Synthèse PER'!P32="A faire")*AND('Synthèse PER'!E32="Tertiaire"),'Synthèse PER'!L32,0)</f>
        <v>0</v>
      </c>
      <c r="BR32" s="290">
        <f>IF(('Synthèse PER'!P32="A faire")*AND('Synthèse PER'!E32="Transport"),'Synthèse PER'!L32,0)</f>
        <v>0</v>
      </c>
      <c r="BS32" s="290">
        <f>IF(('Synthèse PER'!P32="A faire")*AND('Synthèse PER'!E32="Communal"),'Synthèse PER'!L32,0)</f>
        <v>0</v>
      </c>
      <c r="BT32" s="290">
        <f>IF(('Synthèse PER'!Q32="A faire")*AND('Synthèse PER'!F32="Communal"),'Synthèse PER'!M32,0)</f>
        <v>0</v>
      </c>
    </row>
    <row r="33" spans="1:73" s="139" customFormat="1" x14ac:dyDescent="0.25">
      <c r="A33" s="369" t="s">
        <v>70</v>
      </c>
      <c r="B33" s="414" t="str">
        <f>'ADU-1'!B$3:E$3</f>
        <v>Performance énergétique</v>
      </c>
      <c r="C33" s="419" t="str">
        <f>'ADU-1'!$B$8</f>
        <v>Performance énergétique</v>
      </c>
      <c r="D33" s="133" t="str">
        <f>'ADU-1'!$B$9</f>
        <v>Economies d'énergie 2006-2014</v>
      </c>
      <c r="E33" s="133" t="str">
        <f>'ADU-1'!$B$4</f>
        <v>Logement</v>
      </c>
      <c r="F33" s="133" t="str">
        <f>'ADU-1'!$B$12</f>
        <v>Citoyen</v>
      </c>
      <c r="G33" s="133" t="str">
        <f>'ADU-1'!$B$6</f>
        <v>Prêt bancaire</v>
      </c>
      <c r="H33" s="134">
        <f>'ADU-1'!$B$17</f>
        <v>10076442.909465952</v>
      </c>
      <c r="I33" s="133" t="str">
        <f>'ADU-1'!$B$7</f>
        <v>Primes RW</v>
      </c>
      <c r="J33" s="134">
        <f>'ADU-1'!$B$18</f>
        <v>1007644.2909465953</v>
      </c>
      <c r="K33" s="134">
        <f>'ADU-1'!$B$21</f>
        <v>11282167.633347645</v>
      </c>
      <c r="L33" s="134">
        <f>'ADU-1'!$B$22</f>
        <v>0</v>
      </c>
      <c r="M33" s="135">
        <f>'ADU-1'!$B$24</f>
        <v>0.8038170423663934</v>
      </c>
      <c r="N33" s="135">
        <f>'ADU-1'!$B$19/1000</f>
        <v>14394.918442094218</v>
      </c>
      <c r="O33" s="136"/>
      <c r="P33" s="137" t="str">
        <f>'ADU-1'!$B$5</f>
        <v>Terminé</v>
      </c>
      <c r="Q33" s="140">
        <f>'ADU-1'!$B$16</f>
        <v>2014</v>
      </c>
      <c r="R33" s="283">
        <f t="shared" si="26"/>
        <v>14394.918442094218</v>
      </c>
      <c r="S33" s="138">
        <f t="shared" si="9"/>
        <v>0</v>
      </c>
      <c r="T33" s="138">
        <f t="shared" si="10"/>
        <v>0</v>
      </c>
      <c r="U33" s="138">
        <f t="shared" si="11"/>
        <v>0</v>
      </c>
      <c r="V33" s="138">
        <f t="shared" si="12"/>
        <v>14394.918442094218</v>
      </c>
      <c r="W33" s="138">
        <f t="shared" si="13"/>
        <v>0</v>
      </c>
      <c r="X33" s="138">
        <f t="shared" si="14"/>
        <v>0</v>
      </c>
      <c r="Y33" s="138">
        <f t="shared" si="15"/>
        <v>0</v>
      </c>
      <c r="AA33" s="287">
        <f>IF(('Synthèse PER'!P33="A faire")*AND('Synthèse PER'!F33="Agriculture"),'Synthèse PER'!H33,0)</f>
        <v>0</v>
      </c>
      <c r="AB33" s="287">
        <f>IF(('Synthèse PER'!P33="A faire")*AND('Synthèse PER'!F33="Industrie"),'Synthèse PER'!H33,0)</f>
        <v>0</v>
      </c>
      <c r="AC33" s="287">
        <f>IF(('Synthèse PER'!P33="A faire")*AND('Synthèse PER'!F33="Citoyen"),'Synthèse PER'!H33,0)</f>
        <v>0</v>
      </c>
      <c r="AD33" s="287">
        <f>IF(('Synthèse PER'!P33="A faire")*AND('Synthèse PER'!F33="IDELUX"),'Synthèse PER'!H33,0)</f>
        <v>0</v>
      </c>
      <c r="AE33" s="290">
        <f>IF(('Synthèse PER'!P33="A faire")*AND('Synthèse PER'!F33="AC MESSANCY"),'Synthèse PER'!H33,0)</f>
        <v>0</v>
      </c>
      <c r="AF33" s="287">
        <f>IF(('Synthèse PER'!P33="A faire")*AND('Synthèse PER'!F33="Tertiaire"),'Synthèse PER'!H33,0)</f>
        <v>0</v>
      </c>
      <c r="AG33" s="288"/>
      <c r="AH33" s="290">
        <f>IF(('Synthèse PER'!P33="A faire")*AND('Synthèse PER'!F33="Agriculture"),'Synthèse PER'!J33,0)</f>
        <v>0</v>
      </c>
      <c r="AI33" s="290">
        <f>IF(('Synthèse PER'!P33="A faire")*AND('Synthèse PER'!F33="Industrie"),'Synthèse PER'!J33,0)</f>
        <v>0</v>
      </c>
      <c r="AJ33" s="290">
        <f>IF(('Synthèse PER'!P33="A faire")*AND('Synthèse PER'!F33="Citoyen"),'Synthèse PER'!J33,0)</f>
        <v>0</v>
      </c>
      <c r="AK33" s="290">
        <f>IF(('Synthèse PER'!P33="A faire")*AND('Synthèse PER'!F33="IDELUX"),'Synthèse PER'!J33,0)</f>
        <v>0</v>
      </c>
      <c r="AL33" s="290">
        <f>IF(('Synthèse PER'!P33="A faire")*AND('Synthèse PER'!F33="AC MESSANCY"),'Synthèse PER'!J33,0)</f>
        <v>0</v>
      </c>
      <c r="AM33" s="290">
        <f>IF(('Synthèse PER'!P33="A faire")*AND('Synthèse PER'!F33="Tertiaire"),'Synthèse PER'!J33,0)</f>
        <v>0</v>
      </c>
      <c r="AN33" s="288"/>
      <c r="AO33" s="290">
        <f>IF(('Synthèse PER'!P33="A faire")*AND('Synthèse PER'!E33="Territoire"),'Synthèse PER'!H33,0)</f>
        <v>0</v>
      </c>
      <c r="AP33" s="290">
        <f>IF(('Synthèse PER'!P33="A faire")*AND('Synthèse PER'!E33="Agriculture"),'Synthèse PER'!H33,0)</f>
        <v>0</v>
      </c>
      <c r="AQ33" s="290">
        <f>IF(('Synthèse PER'!P33="A faire")*AND('Synthèse PER'!E33="Industrie"),'Synthèse PER'!H33,0)</f>
        <v>0</v>
      </c>
      <c r="AR33" s="290">
        <f>IF(('Synthèse PER'!P33="A faire")*AND('Synthèse PER'!E33="Logement"),'Synthèse PER'!H33,0)</f>
        <v>0</v>
      </c>
      <c r="AS33" s="290">
        <f>IF(('Synthèse PER'!P33="A faire")*AND('Synthèse PER'!E33="Tertiaire"),'Synthèse PER'!H33,0)</f>
        <v>0</v>
      </c>
      <c r="AT33" s="290">
        <f>IF(('Synthèse PER'!P33="A faire")*AND('Synthèse PER'!E33="Transport"),'Synthèse PER'!H33,0)</f>
        <v>0</v>
      </c>
      <c r="AU33" s="290">
        <f>IF(('Synthèse PER'!P33="A faire")*AND('Synthèse PER'!E33="Communal"),'Synthèse PER'!H33,0)</f>
        <v>0</v>
      </c>
      <c r="AV33" s="288"/>
      <c r="AW33" s="290">
        <f>IF(('Synthèse PER'!P33="A faire")*AND('Synthèse PER'!E33="Territoire"),'Synthèse PER'!J33,0)</f>
        <v>0</v>
      </c>
      <c r="AX33" s="290">
        <f>IF(('Synthèse PER'!P33="A faire")*AND('Synthèse PER'!E33="Agriculture"),'Synthèse PER'!J33,0)</f>
        <v>0</v>
      </c>
      <c r="AY33" s="290">
        <f>IF(('Synthèse PER'!P33="A faire")*AND('Synthèse PER'!E33="Industrie"),'Synthèse PER'!J33,0)</f>
        <v>0</v>
      </c>
      <c r="AZ33" s="290">
        <f>IF(('Synthèse PER'!P33="A faire")*AND('Synthèse PER'!E33="Logement"),'Synthèse PER'!J33,0)</f>
        <v>0</v>
      </c>
      <c r="BA33" s="290">
        <f>IF(('Synthèse PER'!P33="A faire")*AND('Synthèse PER'!E33="Tertiaire"),'Synthèse PER'!J33,0)</f>
        <v>0</v>
      </c>
      <c r="BB33" s="290">
        <f>IF(('Synthèse PER'!P33="A faire")*AND('Synthèse PER'!E33="Transport"),'Synthèse PER'!J33,0)</f>
        <v>0</v>
      </c>
      <c r="BC33" s="290">
        <f>IF(('Synthèse PER'!P33="A faire")*AND('Synthèse PER'!E33="Communal"),'Synthèse PER'!J33,0)</f>
        <v>0</v>
      </c>
      <c r="BD33" s="288"/>
      <c r="BE33" s="290">
        <f>IF(('Synthèse PER'!P33="A faire")*AND('Synthèse PER'!E33="Territoire"),'Synthèse PER'!K33,0)</f>
        <v>0</v>
      </c>
      <c r="BF33" s="290">
        <f>IF(('Synthèse PER'!P33="A faire")*AND('Synthèse PER'!E33="Agriculture"),'Synthèse PER'!K33,0)</f>
        <v>0</v>
      </c>
      <c r="BG33" s="290">
        <f>IF(('Synthèse PER'!P33="A faire")*AND('Synthèse PER'!E33="Industrie"),'Synthèse PER'!K33,0)</f>
        <v>0</v>
      </c>
      <c r="BH33" s="290">
        <f>IF(('Synthèse PER'!P33="A faire")*AND('Synthèse PER'!E33="Logement"),'Synthèse PER'!K33,0)</f>
        <v>0</v>
      </c>
      <c r="BI33" s="290">
        <f>IF(('Synthèse PER'!P33="A faire")*AND('Synthèse PER'!E33="Tertiaire"),'Synthèse PER'!K33,0)</f>
        <v>0</v>
      </c>
      <c r="BJ33" s="290">
        <f>IF(('Synthèse PER'!P33="A faire")*AND('Synthèse PER'!E33="Transport"),'Synthèse PER'!K33,0)</f>
        <v>0</v>
      </c>
      <c r="BK33" s="290">
        <f>IF(('Synthèse PER'!P33="A faire")*AND('Synthèse PER'!E33="Communal"),'Synthèse PER'!K33,0)</f>
        <v>0</v>
      </c>
      <c r="BL33" s="288"/>
      <c r="BM33" s="290">
        <f>IF(('Synthèse PER'!P33="A faire")*AND('Synthèse PER'!E33="Territoire"),'Synthèse PER'!L33,0)</f>
        <v>0</v>
      </c>
      <c r="BN33" s="290">
        <f>IF(('Synthèse PER'!P33="A faire")*AND('Synthèse PER'!E33="Agriculture"),'Synthèse PER'!L33,0)</f>
        <v>0</v>
      </c>
      <c r="BO33" s="290">
        <f>IF(('Synthèse PER'!P33="A faire")*AND('Synthèse PER'!E33="Industrie"),'Synthèse PER'!L33,0)</f>
        <v>0</v>
      </c>
      <c r="BP33" s="290">
        <f>IF(('Synthèse PER'!P33="A faire")*AND('Synthèse PER'!E33="Logement"),'Synthèse PER'!L33,0)</f>
        <v>0</v>
      </c>
      <c r="BQ33" s="290">
        <f>IF(('Synthèse PER'!P33="A faire")*AND('Synthèse PER'!E33="Tertiaire"),'Synthèse PER'!L33,0)</f>
        <v>0</v>
      </c>
      <c r="BR33" s="290">
        <f>IF(('Synthèse PER'!P33="A faire")*AND('Synthèse PER'!E33="Transport"),'Synthèse PER'!L33,0)</f>
        <v>0</v>
      </c>
      <c r="BS33" s="290">
        <f>IF(('Synthèse PER'!P33="A faire")*AND('Synthèse PER'!E33="Communal"),'Synthèse PER'!L33,0)</f>
        <v>0</v>
      </c>
      <c r="BT33" s="290">
        <f>IF(('Synthèse PER'!Q33="A faire")*AND('Synthèse PER'!F33="Communal"),'Synthèse PER'!M33,0)</f>
        <v>0</v>
      </c>
    </row>
    <row r="34" spans="1:73" s="139" customFormat="1" x14ac:dyDescent="0.25">
      <c r="A34" s="369" t="s">
        <v>71</v>
      </c>
      <c r="B34" s="414" t="str">
        <f>'ADU-2'!B$3:E$3</f>
        <v>Performance énergétique</v>
      </c>
      <c r="C34" s="419" t="str">
        <f>'ADU-2'!$B$8</f>
        <v>Performance énergétique</v>
      </c>
      <c r="D34" s="133" t="str">
        <f>'ADU-2'!$B$9</f>
        <v>Economies d'énergie 2006-2014</v>
      </c>
      <c r="E34" s="133" t="str">
        <f>'ADU-2'!$B$4</f>
        <v>Transport</v>
      </c>
      <c r="F34" s="133" t="str">
        <f>'ADU-2'!$B$12</f>
        <v>citoyen</v>
      </c>
      <c r="G34" s="133" t="str">
        <f>'ADU-2'!$B$6</f>
        <v>Prêt bancaire</v>
      </c>
      <c r="H34" s="134">
        <f>'ADU-2'!$B$17</f>
        <v>708964.38703444938</v>
      </c>
      <c r="I34" s="133" t="str">
        <f>'ADU-2'!$B$7</f>
        <v>Primes RW</v>
      </c>
      <c r="J34" s="134">
        <f>'ADU-2'!$B$18</f>
        <v>70896.438703444946</v>
      </c>
      <c r="K34" s="134">
        <f>'ADU-2'!$B$21</f>
        <v>889289.87229741097</v>
      </c>
      <c r="L34" s="134">
        <f>'ADU-2'!$B$22</f>
        <v>0</v>
      </c>
      <c r="M34" s="135">
        <f>'ADU-2'!$B$24</f>
        <v>0.7175027718269249</v>
      </c>
      <c r="N34" s="135">
        <f>'ADU-2'!$B$19/1000</f>
        <v>1012.8062671920705</v>
      </c>
      <c r="O34" s="136"/>
      <c r="P34" s="137" t="str">
        <f>'ADU-2'!$B$5</f>
        <v>Terminé</v>
      </c>
      <c r="Q34" s="140">
        <f>'ADU-2'!$B$16</f>
        <v>2014</v>
      </c>
      <c r="R34" s="283">
        <f t="shared" ref="R34:R42" si="45">IF(P34="terminé", N34,"")</f>
        <v>1012.8062671920705</v>
      </c>
      <c r="S34" s="138">
        <f t="shared" si="9"/>
        <v>0</v>
      </c>
      <c r="T34" s="138">
        <f t="shared" si="10"/>
        <v>0</v>
      </c>
      <c r="U34" s="138">
        <f t="shared" si="11"/>
        <v>0</v>
      </c>
      <c r="V34" s="138">
        <f t="shared" si="12"/>
        <v>0</v>
      </c>
      <c r="W34" s="138">
        <f t="shared" si="13"/>
        <v>0</v>
      </c>
      <c r="X34" s="138">
        <f t="shared" si="14"/>
        <v>1012.8062671920705</v>
      </c>
      <c r="Y34" s="138">
        <f t="shared" si="15"/>
        <v>0</v>
      </c>
      <c r="AA34" s="287">
        <f>IF(('Synthèse PER'!P34="A faire")*AND('Synthèse PER'!F34="Agriculture"),'Synthèse PER'!H34,0)</f>
        <v>0</v>
      </c>
      <c r="AB34" s="287">
        <f>IF(('Synthèse PER'!P34="A faire")*AND('Synthèse PER'!F34="Industrie"),'Synthèse PER'!H34,0)</f>
        <v>0</v>
      </c>
      <c r="AC34" s="287">
        <f>IF(('Synthèse PER'!P34="A faire")*AND('Synthèse PER'!F34="Citoyen"),'Synthèse PER'!H34,0)</f>
        <v>0</v>
      </c>
      <c r="AD34" s="287">
        <f>IF(('Synthèse PER'!P34="A faire")*AND('Synthèse PER'!F34="IDELUX"),'Synthèse PER'!H34,0)</f>
        <v>0</v>
      </c>
      <c r="AE34" s="290">
        <f>IF(('Synthèse PER'!P34="A faire")*AND('Synthèse PER'!F34="AC MESSANCY"),'Synthèse PER'!H34,0)</f>
        <v>0</v>
      </c>
      <c r="AF34" s="287">
        <f>IF(('Synthèse PER'!P34="A faire")*AND('Synthèse PER'!F34="Tertiaire"),'Synthèse PER'!H34,0)</f>
        <v>0</v>
      </c>
      <c r="AG34" s="288"/>
      <c r="AH34" s="290">
        <f>IF(('Synthèse PER'!P34="A faire")*AND('Synthèse PER'!F34="Agriculture"),'Synthèse PER'!J34,0)</f>
        <v>0</v>
      </c>
      <c r="AI34" s="290">
        <f>IF(('Synthèse PER'!P34="A faire")*AND('Synthèse PER'!F34="Industrie"),'Synthèse PER'!J34,0)</f>
        <v>0</v>
      </c>
      <c r="AJ34" s="290">
        <f>IF(('Synthèse PER'!P34="A faire")*AND('Synthèse PER'!F34="Citoyen"),'Synthèse PER'!J34,0)</f>
        <v>0</v>
      </c>
      <c r="AK34" s="290">
        <f>IF(('Synthèse PER'!P34="A faire")*AND('Synthèse PER'!F34="IDELUX"),'Synthèse PER'!J34,0)</f>
        <v>0</v>
      </c>
      <c r="AL34" s="290">
        <f>IF(('Synthèse PER'!P34="A faire")*AND('Synthèse PER'!F34="AC MESSANCY"),'Synthèse PER'!J34,0)</f>
        <v>0</v>
      </c>
      <c r="AM34" s="290">
        <f>IF(('Synthèse PER'!P34="A faire")*AND('Synthèse PER'!F34="Tertiaire"),'Synthèse PER'!J34,0)</f>
        <v>0</v>
      </c>
      <c r="AN34" s="288"/>
      <c r="AO34" s="290">
        <f>IF(('Synthèse PER'!P34="A faire")*AND('Synthèse PER'!E34="Territoire"),'Synthèse PER'!H34,0)</f>
        <v>0</v>
      </c>
      <c r="AP34" s="290">
        <f>IF(('Synthèse PER'!P34="A faire")*AND('Synthèse PER'!E34="Agriculture"),'Synthèse PER'!H34,0)</f>
        <v>0</v>
      </c>
      <c r="AQ34" s="290">
        <f>IF(('Synthèse PER'!P34="A faire")*AND('Synthèse PER'!E34="Industrie"),'Synthèse PER'!H34,0)</f>
        <v>0</v>
      </c>
      <c r="AR34" s="290">
        <f>IF(('Synthèse PER'!P34="A faire")*AND('Synthèse PER'!E34="Logement"),'Synthèse PER'!H34,0)</f>
        <v>0</v>
      </c>
      <c r="AS34" s="290">
        <f>IF(('Synthèse PER'!P34="A faire")*AND('Synthèse PER'!E34="Tertiaire"),'Synthèse PER'!H34,0)</f>
        <v>0</v>
      </c>
      <c r="AT34" s="290">
        <f>IF(('Synthèse PER'!P34="A faire")*AND('Synthèse PER'!E34="Transport"),'Synthèse PER'!H34,0)</f>
        <v>0</v>
      </c>
      <c r="AU34" s="290">
        <f>IF(('Synthèse PER'!P34="A faire")*AND('Synthèse PER'!E34="Communal"),'Synthèse PER'!H34,0)</f>
        <v>0</v>
      </c>
      <c r="AV34" s="288"/>
      <c r="AW34" s="290">
        <f>IF(('Synthèse PER'!P34="A faire")*AND('Synthèse PER'!E34="Territoire"),'Synthèse PER'!J34,0)</f>
        <v>0</v>
      </c>
      <c r="AX34" s="290">
        <f>IF(('Synthèse PER'!P34="A faire")*AND('Synthèse PER'!E34="Agriculture"),'Synthèse PER'!J34,0)</f>
        <v>0</v>
      </c>
      <c r="AY34" s="290">
        <f>IF(('Synthèse PER'!P34="A faire")*AND('Synthèse PER'!E34="Industrie"),'Synthèse PER'!J34,0)</f>
        <v>0</v>
      </c>
      <c r="AZ34" s="290">
        <f>IF(('Synthèse PER'!P34="A faire")*AND('Synthèse PER'!E34="Logement"),'Synthèse PER'!J34,0)</f>
        <v>0</v>
      </c>
      <c r="BA34" s="290">
        <f>IF(('Synthèse PER'!P34="A faire")*AND('Synthèse PER'!E34="Tertiaire"),'Synthèse PER'!J34,0)</f>
        <v>0</v>
      </c>
      <c r="BB34" s="290">
        <f>IF(('Synthèse PER'!P34="A faire")*AND('Synthèse PER'!E34="Transport"),'Synthèse PER'!J34,0)</f>
        <v>0</v>
      </c>
      <c r="BC34" s="290">
        <f>IF(('Synthèse PER'!P34="A faire")*AND('Synthèse PER'!E34="Communal"),'Synthèse PER'!J34,0)</f>
        <v>0</v>
      </c>
      <c r="BD34" s="288"/>
      <c r="BE34" s="290">
        <f>IF(('Synthèse PER'!P34="A faire")*AND('Synthèse PER'!E34="Territoire"),'Synthèse PER'!K34,0)</f>
        <v>0</v>
      </c>
      <c r="BF34" s="290">
        <f>IF(('Synthèse PER'!P34="A faire")*AND('Synthèse PER'!E34="Agriculture"),'Synthèse PER'!K34,0)</f>
        <v>0</v>
      </c>
      <c r="BG34" s="290">
        <f>IF(('Synthèse PER'!P34="A faire")*AND('Synthèse PER'!E34="Industrie"),'Synthèse PER'!K34,0)</f>
        <v>0</v>
      </c>
      <c r="BH34" s="290">
        <f>IF(('Synthèse PER'!P34="A faire")*AND('Synthèse PER'!E34="Logement"),'Synthèse PER'!K34,0)</f>
        <v>0</v>
      </c>
      <c r="BI34" s="290">
        <f>IF(('Synthèse PER'!P34="A faire")*AND('Synthèse PER'!E34="Tertiaire"),'Synthèse PER'!K34,0)</f>
        <v>0</v>
      </c>
      <c r="BJ34" s="290">
        <f>IF(('Synthèse PER'!P34="A faire")*AND('Synthèse PER'!E34="Transport"),'Synthèse PER'!K34,0)</f>
        <v>0</v>
      </c>
      <c r="BK34" s="290">
        <f>IF(('Synthèse PER'!P34="A faire")*AND('Synthèse PER'!E34="Communal"),'Synthèse PER'!K34,0)</f>
        <v>0</v>
      </c>
      <c r="BL34" s="288"/>
      <c r="BM34" s="290">
        <f>IF(('Synthèse PER'!P34="A faire")*AND('Synthèse PER'!E34="Territoire"),'Synthèse PER'!L34,0)</f>
        <v>0</v>
      </c>
      <c r="BN34" s="290">
        <f>IF(('Synthèse PER'!P34="A faire")*AND('Synthèse PER'!E34="Agriculture"),'Synthèse PER'!L34,0)</f>
        <v>0</v>
      </c>
      <c r="BO34" s="290">
        <f>IF(('Synthèse PER'!P34="A faire")*AND('Synthèse PER'!E34="Industrie"),'Synthèse PER'!L34,0)</f>
        <v>0</v>
      </c>
      <c r="BP34" s="290">
        <f>IF(('Synthèse PER'!P34="A faire")*AND('Synthèse PER'!E34="Logement"),'Synthèse PER'!L34,0)</f>
        <v>0</v>
      </c>
      <c r="BQ34" s="290">
        <f>IF(('Synthèse PER'!P34="A faire")*AND('Synthèse PER'!E34="Tertiaire"),'Synthèse PER'!L34,0)</f>
        <v>0</v>
      </c>
      <c r="BR34" s="290">
        <f>IF(('Synthèse PER'!P34="A faire")*AND('Synthèse PER'!E34="Transport"),'Synthèse PER'!L34,0)</f>
        <v>0</v>
      </c>
      <c r="BS34" s="290">
        <f>IF(('Synthèse PER'!P34="A faire")*AND('Synthèse PER'!E34="Communal"),'Synthèse PER'!L34,0)</f>
        <v>0</v>
      </c>
      <c r="BT34" s="290">
        <f>IF(('Synthèse PER'!Q34="A faire")*AND('Synthèse PER'!F34="Communal"),'Synthèse PER'!M34,0)</f>
        <v>0</v>
      </c>
    </row>
    <row r="35" spans="1:73" s="139" customFormat="1" x14ac:dyDescent="0.25">
      <c r="A35" s="369" t="s">
        <v>72</v>
      </c>
      <c r="B35" s="414" t="str">
        <f>'ADU-3'!B$3:E$3</f>
        <v>Performance énergétique</v>
      </c>
      <c r="C35" s="419" t="str">
        <f>'ADU-3'!$B$8</f>
        <v>Performance énergétique</v>
      </c>
      <c r="D35" s="133" t="str">
        <f>'ADU-3'!$B$9</f>
        <v>Economies d'énergie 2006-2014</v>
      </c>
      <c r="E35" s="133" t="str">
        <f>'ADU-3'!$B$4</f>
        <v>Industrie</v>
      </c>
      <c r="F35" s="133" t="str">
        <f>'ADU-3'!$B$12</f>
        <v>Industrie</v>
      </c>
      <c r="G35" s="133" t="str">
        <f>'ADU-3'!$B$6</f>
        <v>Prêt bancaire</v>
      </c>
      <c r="H35" s="134">
        <f>'ADU-3'!$B$17</f>
        <v>8810312.6817332674</v>
      </c>
      <c r="I35" s="133" t="str">
        <f>'ADU-3'!$B$7</f>
        <v>Primes RW</v>
      </c>
      <c r="J35" s="134">
        <f>'ADU-3'!$B$18</f>
        <v>881031.26817332674</v>
      </c>
      <c r="K35" s="134">
        <f>'ADU-3'!$B$21</f>
        <v>3577993.904112637</v>
      </c>
      <c r="L35" s="134">
        <f>'ADU-3'!$B$22</f>
        <v>0</v>
      </c>
      <c r="M35" s="135">
        <f>'ADU-3'!$B$24</f>
        <v>2.2161249085544341</v>
      </c>
      <c r="N35" s="135">
        <f>'ADU-3'!$B$19/1000</f>
        <v>12586.160973904669</v>
      </c>
      <c r="O35" s="136"/>
      <c r="P35" s="137" t="str">
        <f>'ADU-3'!$B$5</f>
        <v>Terminé</v>
      </c>
      <c r="Q35" s="140">
        <f>'ADU-3'!$B$16</f>
        <v>2014</v>
      </c>
      <c r="R35" s="283">
        <f t="shared" si="45"/>
        <v>12586.160973904669</v>
      </c>
      <c r="S35" s="138">
        <f t="shared" si="9"/>
        <v>0</v>
      </c>
      <c r="T35" s="138">
        <f t="shared" si="10"/>
        <v>0</v>
      </c>
      <c r="U35" s="138">
        <f t="shared" si="11"/>
        <v>12586.160973904669</v>
      </c>
      <c r="V35" s="138">
        <f t="shared" si="12"/>
        <v>0</v>
      </c>
      <c r="W35" s="138">
        <f t="shared" si="13"/>
        <v>0</v>
      </c>
      <c r="X35" s="138">
        <f t="shared" si="14"/>
        <v>0</v>
      </c>
      <c r="Y35" s="138">
        <f t="shared" si="15"/>
        <v>0</v>
      </c>
      <c r="AA35" s="287">
        <f>IF(('Synthèse PER'!P35="A faire")*AND('Synthèse PER'!F35="Agriculture"),'Synthèse PER'!H35,0)</f>
        <v>0</v>
      </c>
      <c r="AB35" s="287">
        <f>IF(('Synthèse PER'!P35="A faire")*AND('Synthèse PER'!F35="Industrie"),'Synthèse PER'!H35,0)</f>
        <v>0</v>
      </c>
      <c r="AC35" s="287">
        <f>IF(('Synthèse PER'!P35="A faire")*AND('Synthèse PER'!F35="Citoyen"),'Synthèse PER'!H35,0)</f>
        <v>0</v>
      </c>
      <c r="AD35" s="287">
        <f>IF(('Synthèse PER'!P35="A faire")*AND('Synthèse PER'!F35="IDELUX"),'Synthèse PER'!H35,0)</f>
        <v>0</v>
      </c>
      <c r="AE35" s="290">
        <f>IF(('Synthèse PER'!P35="A faire")*AND('Synthèse PER'!F35="AC MESSANCY"),'Synthèse PER'!H35,0)</f>
        <v>0</v>
      </c>
      <c r="AF35" s="287">
        <f>IF(('Synthèse PER'!P35="A faire")*AND('Synthèse PER'!F35="Tertiaire"),'Synthèse PER'!H35,0)</f>
        <v>0</v>
      </c>
      <c r="AG35" s="288"/>
      <c r="AH35" s="290">
        <f>IF(('Synthèse PER'!P35="A faire")*AND('Synthèse PER'!F35="Agriculture"),'Synthèse PER'!J35,0)</f>
        <v>0</v>
      </c>
      <c r="AI35" s="290">
        <f>IF(('Synthèse PER'!P35="A faire")*AND('Synthèse PER'!F35="Industrie"),'Synthèse PER'!J35,0)</f>
        <v>0</v>
      </c>
      <c r="AJ35" s="290">
        <f>IF(('Synthèse PER'!P35="A faire")*AND('Synthèse PER'!F35="Citoyen"),'Synthèse PER'!J35,0)</f>
        <v>0</v>
      </c>
      <c r="AK35" s="290">
        <f>IF(('Synthèse PER'!P35="A faire")*AND('Synthèse PER'!F35="IDELUX"),'Synthèse PER'!J35,0)</f>
        <v>0</v>
      </c>
      <c r="AL35" s="290">
        <f>IF(('Synthèse PER'!P35="A faire")*AND('Synthèse PER'!F35="AC MESSANCY"),'Synthèse PER'!J35,0)</f>
        <v>0</v>
      </c>
      <c r="AM35" s="290">
        <f>IF(('Synthèse PER'!P35="A faire")*AND('Synthèse PER'!F35="Tertiaire"),'Synthèse PER'!J35,0)</f>
        <v>0</v>
      </c>
      <c r="AN35" s="288"/>
      <c r="AO35" s="290">
        <f>IF(('Synthèse PER'!P35="A faire")*AND('Synthèse PER'!E35="Territoire"),'Synthèse PER'!H35,0)</f>
        <v>0</v>
      </c>
      <c r="AP35" s="290">
        <f>IF(('Synthèse PER'!P35="A faire")*AND('Synthèse PER'!E35="Agriculture"),'Synthèse PER'!H35,0)</f>
        <v>0</v>
      </c>
      <c r="AQ35" s="290">
        <f>IF(('Synthèse PER'!P35="A faire")*AND('Synthèse PER'!E35="Industrie"),'Synthèse PER'!H35,0)</f>
        <v>0</v>
      </c>
      <c r="AR35" s="290">
        <f>IF(('Synthèse PER'!P35="A faire")*AND('Synthèse PER'!E35="Logement"),'Synthèse PER'!H35,0)</f>
        <v>0</v>
      </c>
      <c r="AS35" s="290">
        <f>IF(('Synthèse PER'!P35="A faire")*AND('Synthèse PER'!E35="Tertiaire"),'Synthèse PER'!H35,0)</f>
        <v>0</v>
      </c>
      <c r="AT35" s="290">
        <f>IF(('Synthèse PER'!P35="A faire")*AND('Synthèse PER'!E35="Transport"),'Synthèse PER'!H35,0)</f>
        <v>0</v>
      </c>
      <c r="AU35" s="290">
        <f>IF(('Synthèse PER'!P35="A faire")*AND('Synthèse PER'!E35="Communal"),'Synthèse PER'!H35,0)</f>
        <v>0</v>
      </c>
      <c r="AV35" s="288"/>
      <c r="AW35" s="290">
        <f>IF(('Synthèse PER'!P35="A faire")*AND('Synthèse PER'!E35="Territoire"),'Synthèse PER'!J35,0)</f>
        <v>0</v>
      </c>
      <c r="AX35" s="290">
        <f>IF(('Synthèse PER'!P35="A faire")*AND('Synthèse PER'!E35="Agriculture"),'Synthèse PER'!J35,0)</f>
        <v>0</v>
      </c>
      <c r="AY35" s="290">
        <f>IF(('Synthèse PER'!P35="A faire")*AND('Synthèse PER'!E35="Industrie"),'Synthèse PER'!J35,0)</f>
        <v>0</v>
      </c>
      <c r="AZ35" s="290">
        <f>IF(('Synthèse PER'!P35="A faire")*AND('Synthèse PER'!E35="Logement"),'Synthèse PER'!J35,0)</f>
        <v>0</v>
      </c>
      <c r="BA35" s="290">
        <f>IF(('Synthèse PER'!P35="A faire")*AND('Synthèse PER'!E35="Tertiaire"),'Synthèse PER'!J35,0)</f>
        <v>0</v>
      </c>
      <c r="BB35" s="290">
        <f>IF(('Synthèse PER'!P35="A faire")*AND('Synthèse PER'!E35="Transport"),'Synthèse PER'!J35,0)</f>
        <v>0</v>
      </c>
      <c r="BC35" s="290">
        <f>IF(('Synthèse PER'!P35="A faire")*AND('Synthèse PER'!E35="Communal"),'Synthèse PER'!J35,0)</f>
        <v>0</v>
      </c>
      <c r="BD35" s="288"/>
      <c r="BE35" s="290">
        <f>IF(('Synthèse PER'!P35="A faire")*AND('Synthèse PER'!E35="Territoire"),'Synthèse PER'!K35,0)</f>
        <v>0</v>
      </c>
      <c r="BF35" s="290">
        <f>IF(('Synthèse PER'!P35="A faire")*AND('Synthèse PER'!E35="Agriculture"),'Synthèse PER'!K35,0)</f>
        <v>0</v>
      </c>
      <c r="BG35" s="290">
        <f>IF(('Synthèse PER'!P35="A faire")*AND('Synthèse PER'!E35="Industrie"),'Synthèse PER'!K35,0)</f>
        <v>0</v>
      </c>
      <c r="BH35" s="290">
        <f>IF(('Synthèse PER'!P35="A faire")*AND('Synthèse PER'!E35="Logement"),'Synthèse PER'!K35,0)</f>
        <v>0</v>
      </c>
      <c r="BI35" s="290">
        <f>IF(('Synthèse PER'!P35="A faire")*AND('Synthèse PER'!E35="Tertiaire"),'Synthèse PER'!K35,0)</f>
        <v>0</v>
      </c>
      <c r="BJ35" s="290">
        <f>IF(('Synthèse PER'!P35="A faire")*AND('Synthèse PER'!E35="Transport"),'Synthèse PER'!K35,0)</f>
        <v>0</v>
      </c>
      <c r="BK35" s="290">
        <f>IF(('Synthèse PER'!P35="A faire")*AND('Synthèse PER'!E35="Communal"),'Synthèse PER'!K35,0)</f>
        <v>0</v>
      </c>
      <c r="BL35" s="288"/>
      <c r="BM35" s="290">
        <f>IF(('Synthèse PER'!P35="A faire")*AND('Synthèse PER'!E35="Territoire"),'Synthèse PER'!L35,0)</f>
        <v>0</v>
      </c>
      <c r="BN35" s="290">
        <f>IF(('Synthèse PER'!P35="A faire")*AND('Synthèse PER'!E35="Agriculture"),'Synthèse PER'!L35,0)</f>
        <v>0</v>
      </c>
      <c r="BO35" s="290">
        <f>IF(('Synthèse PER'!P35="A faire")*AND('Synthèse PER'!E35="Industrie"),'Synthèse PER'!L35,0)</f>
        <v>0</v>
      </c>
      <c r="BP35" s="290">
        <f>IF(('Synthèse PER'!P35="A faire")*AND('Synthèse PER'!E35="Logement"),'Synthèse PER'!L35,0)</f>
        <v>0</v>
      </c>
      <c r="BQ35" s="290">
        <f>IF(('Synthèse PER'!P35="A faire")*AND('Synthèse PER'!E35="Tertiaire"),'Synthèse PER'!L35,0)</f>
        <v>0</v>
      </c>
      <c r="BR35" s="290">
        <f>IF(('Synthèse PER'!P35="A faire")*AND('Synthèse PER'!E35="Transport"),'Synthèse PER'!L35,0)</f>
        <v>0</v>
      </c>
      <c r="BS35" s="290">
        <f>IF(('Synthèse PER'!P35="A faire")*AND('Synthèse PER'!E35="Communal"),'Synthèse PER'!L35,0)</f>
        <v>0</v>
      </c>
      <c r="BT35" s="290">
        <f>IF(('Synthèse PER'!Q35="A faire")*AND('Synthèse PER'!F35="Communal"),'Synthèse PER'!M35,0)</f>
        <v>0</v>
      </c>
    </row>
    <row r="36" spans="1:73" s="139" customFormat="1" x14ac:dyDescent="0.25">
      <c r="A36" s="369" t="s">
        <v>759</v>
      </c>
      <c r="B36" s="414" t="str">
        <f>'ADU-4'!B$3:E$3</f>
        <v>Performance énergétique</v>
      </c>
      <c r="C36" s="419">
        <f>'ADU-4'!$B$8</f>
        <v>0</v>
      </c>
      <c r="D36" s="133">
        <f>'ADU-4'!$B$9</f>
        <v>0</v>
      </c>
      <c r="E36" s="133" t="str">
        <f>'ADU-4'!$B$4</f>
        <v>Tertiaire</v>
      </c>
      <c r="F36" s="133">
        <f>'ADU-4'!$B$12</f>
        <v>0</v>
      </c>
      <c r="G36" s="133" t="str">
        <f>'ADU-4'!$B$6</f>
        <v>Fonds propres</v>
      </c>
      <c r="H36" s="134">
        <f>'ADU-4'!$B$17</f>
        <v>0</v>
      </c>
      <c r="I36" s="133" t="str">
        <f>'ADU-4'!$B$7</f>
        <v>Subs RW</v>
      </c>
      <c r="J36" s="134">
        <f>'ADU-4'!$B$18</f>
        <v>0</v>
      </c>
      <c r="K36" s="134">
        <f>'ADU-4'!$B$21</f>
        <v>0</v>
      </c>
      <c r="L36" s="134">
        <f>'ADU-4'!$B$22</f>
        <v>0</v>
      </c>
      <c r="M36" s="135" t="e">
        <f>'ADU-4'!$B$24</f>
        <v>#DIV/0!</v>
      </c>
      <c r="N36" s="135">
        <f>'ADU-4'!$B$19/1000</f>
        <v>0</v>
      </c>
      <c r="O36" s="136"/>
      <c r="P36" s="137" t="str">
        <f>'ADU-4'!$B$5</f>
        <v>Ne pas réaliser</v>
      </c>
      <c r="Q36" s="140">
        <f>'ADU-4'!$B$16</f>
        <v>0</v>
      </c>
      <c r="R36" s="283" t="str">
        <f t="shared" si="45"/>
        <v/>
      </c>
      <c r="S36" s="138">
        <f t="shared" si="9"/>
        <v>0</v>
      </c>
      <c r="T36" s="138">
        <f t="shared" si="10"/>
        <v>0</v>
      </c>
      <c r="U36" s="138">
        <f t="shared" si="11"/>
        <v>0</v>
      </c>
      <c r="V36" s="138">
        <f t="shared" si="12"/>
        <v>0</v>
      </c>
      <c r="W36" s="138">
        <f t="shared" si="13"/>
        <v>0</v>
      </c>
      <c r="X36" s="138">
        <f t="shared" si="14"/>
        <v>0</v>
      </c>
      <c r="Y36" s="138">
        <f t="shared" si="15"/>
        <v>0</v>
      </c>
      <c r="AA36" s="287">
        <f>IF(('Synthèse PER'!P36="A faire")*AND('Synthèse PER'!F36="Agriculture"),'Synthèse PER'!H36,0)</f>
        <v>0</v>
      </c>
      <c r="AB36" s="287">
        <f>IF(('Synthèse PER'!P36="A faire")*AND('Synthèse PER'!F36="Industrie"),'Synthèse PER'!H36,0)</f>
        <v>0</v>
      </c>
      <c r="AC36" s="287">
        <f>IF(('Synthèse PER'!P36="A faire")*AND('Synthèse PER'!F36="Citoyen"),'Synthèse PER'!H36,0)</f>
        <v>0</v>
      </c>
      <c r="AD36" s="287">
        <f>IF(('Synthèse PER'!P36="A faire")*AND('Synthèse PER'!F36="IDELUX"),'Synthèse PER'!H36,0)</f>
        <v>0</v>
      </c>
      <c r="AE36" s="290">
        <f>IF(('Synthèse PER'!P36="A faire")*AND('Synthèse PER'!F36="AC MESSANCY"),'Synthèse PER'!H36,0)</f>
        <v>0</v>
      </c>
      <c r="AF36" s="287">
        <f>IF(('Synthèse PER'!P36="A faire")*AND('Synthèse PER'!F36="Tertiaire"),'Synthèse PER'!H36,0)</f>
        <v>0</v>
      </c>
      <c r="AG36" s="288"/>
      <c r="AH36" s="290">
        <f>IF(('Synthèse PER'!P36="A faire")*AND('Synthèse PER'!F36="Agriculture"),'Synthèse PER'!J36,0)</f>
        <v>0</v>
      </c>
      <c r="AI36" s="290">
        <f>IF(('Synthèse PER'!P36="A faire")*AND('Synthèse PER'!F36="Industrie"),'Synthèse PER'!J36,0)</f>
        <v>0</v>
      </c>
      <c r="AJ36" s="290">
        <f>IF(('Synthèse PER'!P36="A faire")*AND('Synthèse PER'!F36="Citoyen"),'Synthèse PER'!J36,0)</f>
        <v>0</v>
      </c>
      <c r="AK36" s="290">
        <f>IF(('Synthèse PER'!P36="A faire")*AND('Synthèse PER'!F36="IDELUX"),'Synthèse PER'!J36,0)</f>
        <v>0</v>
      </c>
      <c r="AL36" s="290">
        <f>IF(('Synthèse PER'!P36="A faire")*AND('Synthèse PER'!F36="AC MESSANCY"),'Synthèse PER'!J36,0)</f>
        <v>0</v>
      </c>
      <c r="AM36" s="290">
        <f>IF(('Synthèse PER'!P36="A faire")*AND('Synthèse PER'!F36="Tertiaire"),'Synthèse PER'!J36,0)</f>
        <v>0</v>
      </c>
      <c r="AN36" s="288"/>
      <c r="AO36" s="290">
        <f>IF(('Synthèse PER'!P36="A faire")*AND('Synthèse PER'!E36="Territoire"),'Synthèse PER'!H36,0)</f>
        <v>0</v>
      </c>
      <c r="AP36" s="290">
        <f>IF(('Synthèse PER'!P36="A faire")*AND('Synthèse PER'!E36="Agriculture"),'Synthèse PER'!H36,0)</f>
        <v>0</v>
      </c>
      <c r="AQ36" s="290">
        <f>IF(('Synthèse PER'!P36="A faire")*AND('Synthèse PER'!E36="Industrie"),'Synthèse PER'!H36,0)</f>
        <v>0</v>
      </c>
      <c r="AR36" s="290">
        <f>IF(('Synthèse PER'!P36="A faire")*AND('Synthèse PER'!E36="Logement"),'Synthèse PER'!H36,0)</f>
        <v>0</v>
      </c>
      <c r="AS36" s="290">
        <f>IF(('Synthèse PER'!P36="A faire")*AND('Synthèse PER'!E36="Tertiaire"),'Synthèse PER'!H36,0)</f>
        <v>0</v>
      </c>
      <c r="AT36" s="290">
        <f>IF(('Synthèse PER'!P36="A faire")*AND('Synthèse PER'!E36="Transport"),'Synthèse PER'!H36,0)</f>
        <v>0</v>
      </c>
      <c r="AU36" s="290">
        <f>IF(('Synthèse PER'!P36="A faire")*AND('Synthèse PER'!E36="Communal"),'Synthèse PER'!H36,0)</f>
        <v>0</v>
      </c>
      <c r="AV36" s="288"/>
      <c r="AW36" s="290">
        <f>IF(('Synthèse PER'!P36="A faire")*AND('Synthèse PER'!E36="Territoire"),'Synthèse PER'!J36,0)</f>
        <v>0</v>
      </c>
      <c r="AX36" s="290">
        <f>IF(('Synthèse PER'!P36="A faire")*AND('Synthèse PER'!E36="Agriculture"),'Synthèse PER'!J36,0)</f>
        <v>0</v>
      </c>
      <c r="AY36" s="290">
        <f>IF(('Synthèse PER'!P36="A faire")*AND('Synthèse PER'!E36="Industrie"),'Synthèse PER'!J36,0)</f>
        <v>0</v>
      </c>
      <c r="AZ36" s="290">
        <f>IF(('Synthèse PER'!P36="A faire")*AND('Synthèse PER'!E36="Logement"),'Synthèse PER'!J36,0)</f>
        <v>0</v>
      </c>
      <c r="BA36" s="290">
        <f>IF(('Synthèse PER'!P36="A faire")*AND('Synthèse PER'!E36="Tertiaire"),'Synthèse PER'!J36,0)</f>
        <v>0</v>
      </c>
      <c r="BB36" s="290">
        <f>IF(('Synthèse PER'!P36="A faire")*AND('Synthèse PER'!E36="Transport"),'Synthèse PER'!J36,0)</f>
        <v>0</v>
      </c>
      <c r="BC36" s="290">
        <f>IF(('Synthèse PER'!P36="A faire")*AND('Synthèse PER'!E36="Communal"),'Synthèse PER'!J36,0)</f>
        <v>0</v>
      </c>
      <c r="BD36" s="288"/>
      <c r="BE36" s="290">
        <f>IF(('Synthèse PER'!P36="A faire")*AND('Synthèse PER'!E36="Territoire"),'Synthèse PER'!K36,0)</f>
        <v>0</v>
      </c>
      <c r="BF36" s="290">
        <f>IF(('Synthèse PER'!P36="A faire")*AND('Synthèse PER'!E36="Agriculture"),'Synthèse PER'!K36,0)</f>
        <v>0</v>
      </c>
      <c r="BG36" s="290">
        <f>IF(('Synthèse PER'!P36="A faire")*AND('Synthèse PER'!E36="Industrie"),'Synthèse PER'!K36,0)</f>
        <v>0</v>
      </c>
      <c r="BH36" s="290">
        <f>IF(('Synthèse PER'!P36="A faire")*AND('Synthèse PER'!E36="Logement"),'Synthèse PER'!K36,0)</f>
        <v>0</v>
      </c>
      <c r="BI36" s="290">
        <f>IF(('Synthèse PER'!P36="A faire")*AND('Synthèse PER'!E36="Tertiaire"),'Synthèse PER'!K36,0)</f>
        <v>0</v>
      </c>
      <c r="BJ36" s="290">
        <f>IF(('Synthèse PER'!P36="A faire")*AND('Synthèse PER'!E36="Transport"),'Synthèse PER'!K36,0)</f>
        <v>0</v>
      </c>
      <c r="BK36" s="290">
        <f>IF(('Synthèse PER'!P36="A faire")*AND('Synthèse PER'!E36="Communal"),'Synthèse PER'!K36,0)</f>
        <v>0</v>
      </c>
      <c r="BL36" s="288"/>
      <c r="BM36" s="290">
        <f>IF(('Synthèse PER'!P36="A faire")*AND('Synthèse PER'!E36="Territoire"),'Synthèse PER'!L36,0)</f>
        <v>0</v>
      </c>
      <c r="BN36" s="290">
        <f>IF(('Synthèse PER'!P36="A faire")*AND('Synthèse PER'!E36="Agriculture"),'Synthèse PER'!L36,0)</f>
        <v>0</v>
      </c>
      <c r="BO36" s="290">
        <f>IF(('Synthèse PER'!P36="A faire")*AND('Synthèse PER'!E36="Industrie"),'Synthèse PER'!L36,0)</f>
        <v>0</v>
      </c>
      <c r="BP36" s="290">
        <f>IF(('Synthèse PER'!P36="A faire")*AND('Synthèse PER'!E36="Logement"),'Synthèse PER'!L36,0)</f>
        <v>0</v>
      </c>
      <c r="BQ36" s="290">
        <f>IF(('Synthèse PER'!P36="A faire")*AND('Synthèse PER'!E36="Tertiaire"),'Synthèse PER'!L36,0)</f>
        <v>0</v>
      </c>
      <c r="BR36" s="290">
        <f>IF(('Synthèse PER'!P36="A faire")*AND('Synthèse PER'!E36="Transport"),'Synthèse PER'!L36,0)</f>
        <v>0</v>
      </c>
      <c r="BS36" s="290">
        <f>IF(('Synthèse PER'!P36="A faire")*AND('Synthèse PER'!E36="Communal"),'Synthèse PER'!L36,0)</f>
        <v>0</v>
      </c>
      <c r="BT36" s="290">
        <f>IF(('Synthèse PER'!Q36="A faire")*AND('Synthèse PER'!F36="Communal"),'Synthèse PER'!M36,0)</f>
        <v>0</v>
      </c>
    </row>
    <row r="37" spans="1:73" s="139" customFormat="1" x14ac:dyDescent="0.25">
      <c r="A37" s="369" t="s">
        <v>73</v>
      </c>
      <c r="B37" s="414" t="str">
        <f>'ADU-5'!B$3:E$3</f>
        <v>Performance énergétique</v>
      </c>
      <c r="C37" s="419" t="str">
        <f>'ADU-5'!$B$8</f>
        <v>Performance énergétique</v>
      </c>
      <c r="D37" s="133" t="str">
        <f>'ADU-5'!$B$9</f>
        <v>Travaux économiseurs d'énergie - Chauffage</v>
      </c>
      <c r="E37" s="133" t="str">
        <f>'ADU-5'!$B$4</f>
        <v>Communal</v>
      </c>
      <c r="F37" s="133" t="str">
        <f>'ADU-5'!$B$12</f>
        <v>AC MESSANCY</v>
      </c>
      <c r="G37" s="133" t="str">
        <f>'ADU-5'!$B$6</f>
        <v>Fonds propres</v>
      </c>
      <c r="H37" s="134">
        <f>'ADU-5'!$B$17</f>
        <v>632557.66999999993</v>
      </c>
      <c r="I37" s="133" t="str">
        <f>'ADU-5'!$B$7</f>
        <v>Néant</v>
      </c>
      <c r="J37" s="134">
        <f>'ADU-5'!$B$18</f>
        <v>476548.5</v>
      </c>
      <c r="K37" s="134">
        <f>'ADU-5'!$B$21</f>
        <v>16253</v>
      </c>
      <c r="L37" s="134">
        <f>'ADU-5'!$B$22</f>
        <v>0</v>
      </c>
      <c r="M37" s="135">
        <f>'ADU-5'!$B$24</f>
        <v>9.5987922229742164</v>
      </c>
      <c r="N37" s="135">
        <f>'ADU-5'!$B$19/1000</f>
        <v>203.16249999999999</v>
      </c>
      <c r="O37" s="136"/>
      <c r="P37" s="137" t="str">
        <f>'ADU-5'!$B$5</f>
        <v>Terminé</v>
      </c>
      <c r="Q37" s="140">
        <f>'ADU-5'!$B$16</f>
        <v>2017</v>
      </c>
      <c r="R37" s="283">
        <f t="shared" si="45"/>
        <v>203.16249999999999</v>
      </c>
      <c r="S37" s="138">
        <f t="shared" si="9"/>
        <v>0</v>
      </c>
      <c r="T37" s="138">
        <f t="shared" si="10"/>
        <v>0</v>
      </c>
      <c r="U37" s="138">
        <f t="shared" si="11"/>
        <v>0</v>
      </c>
      <c r="V37" s="138">
        <f t="shared" si="12"/>
        <v>0</v>
      </c>
      <c r="W37" s="138">
        <f t="shared" si="13"/>
        <v>0</v>
      </c>
      <c r="X37" s="138">
        <f t="shared" si="14"/>
        <v>0</v>
      </c>
      <c r="Y37" s="138">
        <f t="shared" si="15"/>
        <v>203.16249999999999</v>
      </c>
      <c r="AA37" s="287">
        <f>IF(('Synthèse PER'!P37="A faire")*AND('Synthèse PER'!F37="Agriculture"),'Synthèse PER'!H37,0)</f>
        <v>0</v>
      </c>
      <c r="AB37" s="287">
        <f>IF(('Synthèse PER'!P37="A faire")*AND('Synthèse PER'!F37="Industrie"),'Synthèse PER'!H37,0)</f>
        <v>0</v>
      </c>
      <c r="AC37" s="287">
        <f>IF(('Synthèse PER'!P37="A faire")*AND('Synthèse PER'!F37="Citoyen"),'Synthèse PER'!H37,0)</f>
        <v>0</v>
      </c>
      <c r="AD37" s="287">
        <f>IF(('Synthèse PER'!P37="A faire")*AND('Synthèse PER'!F37="IDELUX"),'Synthèse PER'!H37,0)</f>
        <v>0</v>
      </c>
      <c r="AE37" s="290">
        <f>IF(('Synthèse PER'!P37="A faire")*AND('Synthèse PER'!F37="AC MESSANCY"),'Synthèse PER'!H37,0)</f>
        <v>0</v>
      </c>
      <c r="AF37" s="287">
        <f>IF(('Synthèse PER'!P37="A faire")*AND('Synthèse PER'!F37="Tertiaire"),'Synthèse PER'!H37,0)</f>
        <v>0</v>
      </c>
      <c r="AG37" s="288"/>
      <c r="AH37" s="290">
        <f>IF(('Synthèse PER'!P37="A faire")*AND('Synthèse PER'!F37="Agriculture"),'Synthèse PER'!J37,0)</f>
        <v>0</v>
      </c>
      <c r="AI37" s="290">
        <f>IF(('Synthèse PER'!P37="A faire")*AND('Synthèse PER'!F37="Industrie"),'Synthèse PER'!J37,0)</f>
        <v>0</v>
      </c>
      <c r="AJ37" s="290">
        <f>IF(('Synthèse PER'!P37="A faire")*AND('Synthèse PER'!F37="Citoyen"),'Synthèse PER'!J37,0)</f>
        <v>0</v>
      </c>
      <c r="AK37" s="290">
        <f>IF(('Synthèse PER'!P37="A faire")*AND('Synthèse PER'!F37="IDELUX"),'Synthèse PER'!J37,0)</f>
        <v>0</v>
      </c>
      <c r="AL37" s="290">
        <f>IF(('Synthèse PER'!P37="A faire")*AND('Synthèse PER'!F37="AC MESSANCY"),'Synthèse PER'!J37,0)</f>
        <v>0</v>
      </c>
      <c r="AM37" s="290">
        <f>IF(('Synthèse PER'!P37="A faire")*AND('Synthèse PER'!F37="Tertiaire"),'Synthèse PER'!J37,0)</f>
        <v>0</v>
      </c>
      <c r="AN37" s="288"/>
      <c r="AO37" s="290">
        <f>IF(('Synthèse PER'!P37="A faire")*AND('Synthèse PER'!E37="Territoire"),'Synthèse PER'!H37,0)</f>
        <v>0</v>
      </c>
      <c r="AP37" s="290">
        <f>IF(('Synthèse PER'!P37="A faire")*AND('Synthèse PER'!E37="Agriculture"),'Synthèse PER'!H37,0)</f>
        <v>0</v>
      </c>
      <c r="AQ37" s="290">
        <f>IF(('Synthèse PER'!P37="A faire")*AND('Synthèse PER'!E37="Industrie"),'Synthèse PER'!H37,0)</f>
        <v>0</v>
      </c>
      <c r="AR37" s="290">
        <f>IF(('Synthèse PER'!P37="A faire")*AND('Synthèse PER'!E37="Logement"),'Synthèse PER'!H37,0)</f>
        <v>0</v>
      </c>
      <c r="AS37" s="290">
        <f>IF(('Synthèse PER'!P37="A faire")*AND('Synthèse PER'!E37="Tertiaire"),'Synthèse PER'!H37,0)</f>
        <v>0</v>
      </c>
      <c r="AT37" s="290">
        <f>IF(('Synthèse PER'!P37="A faire")*AND('Synthèse PER'!E37="Transport"),'Synthèse PER'!H37,0)</f>
        <v>0</v>
      </c>
      <c r="AU37" s="290">
        <f>IF(('Synthèse PER'!P37="A faire")*AND('Synthèse PER'!E37="Communal"),'Synthèse PER'!H37,0)</f>
        <v>0</v>
      </c>
      <c r="AV37" s="288"/>
      <c r="AW37" s="290">
        <f>IF(('Synthèse PER'!P37="A faire")*AND('Synthèse PER'!E37="Territoire"),'Synthèse PER'!J37,0)</f>
        <v>0</v>
      </c>
      <c r="AX37" s="290">
        <f>IF(('Synthèse PER'!P37="A faire")*AND('Synthèse PER'!E37="Agriculture"),'Synthèse PER'!J37,0)</f>
        <v>0</v>
      </c>
      <c r="AY37" s="290">
        <f>IF(('Synthèse PER'!P37="A faire")*AND('Synthèse PER'!E37="Industrie"),'Synthèse PER'!J37,0)</f>
        <v>0</v>
      </c>
      <c r="AZ37" s="290">
        <f>IF(('Synthèse PER'!P37="A faire")*AND('Synthèse PER'!E37="Logement"),'Synthèse PER'!J37,0)</f>
        <v>0</v>
      </c>
      <c r="BA37" s="290">
        <f>IF(('Synthèse PER'!P37="A faire")*AND('Synthèse PER'!E37="Tertiaire"),'Synthèse PER'!J37,0)</f>
        <v>0</v>
      </c>
      <c r="BB37" s="290">
        <f>IF(('Synthèse PER'!P37="A faire")*AND('Synthèse PER'!E37="Transport"),'Synthèse PER'!J37,0)</f>
        <v>0</v>
      </c>
      <c r="BC37" s="290">
        <f>IF(('Synthèse PER'!P37="A faire")*AND('Synthèse PER'!E37="Communal"),'Synthèse PER'!J37,0)</f>
        <v>0</v>
      </c>
      <c r="BD37" s="288"/>
      <c r="BE37" s="290">
        <f>IF(('Synthèse PER'!P37="A faire")*AND('Synthèse PER'!E37="Territoire"),'Synthèse PER'!K37,0)</f>
        <v>0</v>
      </c>
      <c r="BF37" s="290">
        <f>IF(('Synthèse PER'!P37="A faire")*AND('Synthèse PER'!E37="Agriculture"),'Synthèse PER'!K37,0)</f>
        <v>0</v>
      </c>
      <c r="BG37" s="290">
        <f>IF(('Synthèse PER'!P37="A faire")*AND('Synthèse PER'!E37="Industrie"),'Synthèse PER'!K37,0)</f>
        <v>0</v>
      </c>
      <c r="BH37" s="290">
        <f>IF(('Synthèse PER'!P37="A faire")*AND('Synthèse PER'!E37="Logement"),'Synthèse PER'!K37,0)</f>
        <v>0</v>
      </c>
      <c r="BI37" s="290">
        <f>IF(('Synthèse PER'!P37="A faire")*AND('Synthèse PER'!E37="Tertiaire"),'Synthèse PER'!K37,0)</f>
        <v>0</v>
      </c>
      <c r="BJ37" s="290">
        <f>IF(('Synthèse PER'!P37="A faire")*AND('Synthèse PER'!E37="Transport"),'Synthèse PER'!K37,0)</f>
        <v>0</v>
      </c>
      <c r="BK37" s="290">
        <f>IF(('Synthèse PER'!P37="A faire")*AND('Synthèse PER'!E37="Communal"),'Synthèse PER'!K37,0)</f>
        <v>0</v>
      </c>
      <c r="BL37" s="288"/>
      <c r="BM37" s="290">
        <f>IF(('Synthèse PER'!P37="A faire")*AND('Synthèse PER'!E37="Territoire"),'Synthèse PER'!L37,0)</f>
        <v>0</v>
      </c>
      <c r="BN37" s="290">
        <f>IF(('Synthèse PER'!P37="A faire")*AND('Synthèse PER'!E37="Agriculture"),'Synthèse PER'!L37,0)</f>
        <v>0</v>
      </c>
      <c r="BO37" s="290">
        <f>IF(('Synthèse PER'!P37="A faire")*AND('Synthèse PER'!E37="Industrie"),'Synthèse PER'!L37,0)</f>
        <v>0</v>
      </c>
      <c r="BP37" s="290">
        <f>IF(('Synthèse PER'!P37="A faire")*AND('Synthèse PER'!E37="Logement"),'Synthèse PER'!L37,0)</f>
        <v>0</v>
      </c>
      <c r="BQ37" s="290">
        <f>IF(('Synthèse PER'!P37="A faire")*AND('Synthèse PER'!E37="Tertiaire"),'Synthèse PER'!L37,0)</f>
        <v>0</v>
      </c>
      <c r="BR37" s="290">
        <f>IF(('Synthèse PER'!P37="A faire")*AND('Synthèse PER'!E37="Transport"),'Synthèse PER'!L37,0)</f>
        <v>0</v>
      </c>
      <c r="BS37" s="290">
        <f>IF(('Synthèse PER'!P37="A faire")*AND('Synthèse PER'!E37="Communal"),'Synthèse PER'!L37,0)</f>
        <v>0</v>
      </c>
      <c r="BT37" s="290">
        <f>IF(('Synthèse PER'!Q37="A faire")*AND('Synthèse PER'!F37="Communal"),'Synthèse PER'!M37,0)</f>
        <v>0</v>
      </c>
    </row>
    <row r="38" spans="1:73" s="139" customFormat="1" x14ac:dyDescent="0.25">
      <c r="A38" s="369" t="s">
        <v>74</v>
      </c>
      <c r="B38" s="414" t="str">
        <f>'ADU-6'!B$3:E$3</f>
        <v>Performance énergétique</v>
      </c>
      <c r="C38" s="419">
        <f>'ADU-6'!$B$8</f>
        <v>0</v>
      </c>
      <c r="D38" s="133">
        <f>'ADU-6'!$B$9</f>
        <v>0</v>
      </c>
      <c r="E38" s="133" t="str">
        <f>'ADU-6'!$B$4</f>
        <v>Communal</v>
      </c>
      <c r="F38" s="133">
        <f>'ADU-6'!$B$12</f>
        <v>0</v>
      </c>
      <c r="G38" s="133" t="str">
        <f>'ADU-6'!$B$6</f>
        <v>Néant</v>
      </c>
      <c r="H38" s="134">
        <f>'ADU-6'!$B$17</f>
        <v>0</v>
      </c>
      <c r="I38" s="133" t="str">
        <f>'ADU-6'!$B$7</f>
        <v>Néant</v>
      </c>
      <c r="J38" s="134">
        <f>'ADU-6'!$B$18</f>
        <v>0</v>
      </c>
      <c r="K38" s="134">
        <f>'ADU-6'!$B$21</f>
        <v>0</v>
      </c>
      <c r="L38" s="134">
        <f>'ADU-6'!$B$22</f>
        <v>0</v>
      </c>
      <c r="M38" s="135" t="e">
        <f>'ADU-6'!$B$24</f>
        <v>#DIV/0!</v>
      </c>
      <c r="N38" s="135">
        <f>'ADU-6'!$B$19/1000</f>
        <v>0</v>
      </c>
      <c r="O38" s="136"/>
      <c r="P38" s="137" t="str">
        <f>'ADU-6'!$B$5</f>
        <v>Ne pas réaliser</v>
      </c>
      <c r="Q38" s="140">
        <f>'ADU-6'!$B$16</f>
        <v>0</v>
      </c>
      <c r="R38" s="283" t="str">
        <f t="shared" si="45"/>
        <v/>
      </c>
      <c r="S38" s="138">
        <f t="shared" si="9"/>
        <v>0</v>
      </c>
      <c r="T38" s="138">
        <f t="shared" si="10"/>
        <v>0</v>
      </c>
      <c r="U38" s="138">
        <f t="shared" si="11"/>
        <v>0</v>
      </c>
      <c r="V38" s="138">
        <f t="shared" si="12"/>
        <v>0</v>
      </c>
      <c r="W38" s="138">
        <f t="shared" si="13"/>
        <v>0</v>
      </c>
      <c r="X38" s="138">
        <f t="shared" si="14"/>
        <v>0</v>
      </c>
      <c r="Y38" s="138">
        <f t="shared" si="15"/>
        <v>0</v>
      </c>
      <c r="AA38" s="287">
        <f>IF(('Synthèse PER'!P38="A faire")*AND('Synthèse PER'!F38="Agriculture"),'Synthèse PER'!H38,0)</f>
        <v>0</v>
      </c>
      <c r="AB38" s="287">
        <f>IF(('Synthèse PER'!P38="A faire")*AND('Synthèse PER'!F38="Industrie"),'Synthèse PER'!H38,0)</f>
        <v>0</v>
      </c>
      <c r="AC38" s="287">
        <f>IF(('Synthèse PER'!P38="A faire")*AND('Synthèse PER'!F38="Citoyen"),'Synthèse PER'!H38,0)</f>
        <v>0</v>
      </c>
      <c r="AD38" s="287">
        <f>IF(('Synthèse PER'!P38="A faire")*AND('Synthèse PER'!F38="IDELUX"),'Synthèse PER'!H38,0)</f>
        <v>0</v>
      </c>
      <c r="AE38" s="290">
        <f>IF(('Synthèse PER'!P38="A faire")*AND('Synthèse PER'!F38="AC MESSANCY"),'Synthèse PER'!H38,0)</f>
        <v>0</v>
      </c>
      <c r="AF38" s="287">
        <f>IF(('Synthèse PER'!P38="A faire")*AND('Synthèse PER'!F38="Tertiaire"),'Synthèse PER'!H38,0)</f>
        <v>0</v>
      </c>
      <c r="AG38" s="288"/>
      <c r="AH38" s="290">
        <f>IF(('Synthèse PER'!P38="A faire")*AND('Synthèse PER'!F38="Agriculture"),'Synthèse PER'!J38,0)</f>
        <v>0</v>
      </c>
      <c r="AI38" s="290">
        <f>IF(('Synthèse PER'!P38="A faire")*AND('Synthèse PER'!F38="Industrie"),'Synthèse PER'!J38,0)</f>
        <v>0</v>
      </c>
      <c r="AJ38" s="290">
        <f>IF(('Synthèse PER'!P38="A faire")*AND('Synthèse PER'!F38="Citoyen"),'Synthèse PER'!J38,0)</f>
        <v>0</v>
      </c>
      <c r="AK38" s="290">
        <f>IF(('Synthèse PER'!P38="A faire")*AND('Synthèse PER'!F38="IDELUX"),'Synthèse PER'!J38,0)</f>
        <v>0</v>
      </c>
      <c r="AL38" s="290">
        <f>IF(('Synthèse PER'!P38="A faire")*AND('Synthèse PER'!F38="AC MESSANCY"),'Synthèse PER'!J38,0)</f>
        <v>0</v>
      </c>
      <c r="AM38" s="290">
        <f>IF(('Synthèse PER'!P38="A faire")*AND('Synthèse PER'!F38="Tertiaire"),'Synthèse PER'!J38,0)</f>
        <v>0</v>
      </c>
      <c r="AN38" s="288"/>
      <c r="AO38" s="290">
        <f>IF(('Synthèse PER'!P38="A faire")*AND('Synthèse PER'!E38="Territoire"),'Synthèse PER'!H38,0)</f>
        <v>0</v>
      </c>
      <c r="AP38" s="290">
        <f>IF(('Synthèse PER'!P38="A faire")*AND('Synthèse PER'!E38="Agriculture"),'Synthèse PER'!H38,0)</f>
        <v>0</v>
      </c>
      <c r="AQ38" s="290">
        <f>IF(('Synthèse PER'!P38="A faire")*AND('Synthèse PER'!E38="Industrie"),'Synthèse PER'!H38,0)</f>
        <v>0</v>
      </c>
      <c r="AR38" s="290">
        <f>IF(('Synthèse PER'!P38="A faire")*AND('Synthèse PER'!E38="Logement"),'Synthèse PER'!H38,0)</f>
        <v>0</v>
      </c>
      <c r="AS38" s="290">
        <f>IF(('Synthèse PER'!P38="A faire")*AND('Synthèse PER'!E38="Tertiaire"),'Synthèse PER'!H38,0)</f>
        <v>0</v>
      </c>
      <c r="AT38" s="290">
        <f>IF(('Synthèse PER'!P38="A faire")*AND('Synthèse PER'!E38="Transport"),'Synthèse PER'!H38,0)</f>
        <v>0</v>
      </c>
      <c r="AU38" s="290">
        <f>IF(('Synthèse PER'!P38="A faire")*AND('Synthèse PER'!E38="Communal"),'Synthèse PER'!H38,0)</f>
        <v>0</v>
      </c>
      <c r="AV38" s="288"/>
      <c r="AW38" s="290">
        <f>IF(('Synthèse PER'!P38="A faire")*AND('Synthèse PER'!E38="Territoire"),'Synthèse PER'!J38,0)</f>
        <v>0</v>
      </c>
      <c r="AX38" s="290">
        <f>IF(('Synthèse PER'!P38="A faire")*AND('Synthèse PER'!E38="Agriculture"),'Synthèse PER'!J38,0)</f>
        <v>0</v>
      </c>
      <c r="AY38" s="290">
        <f>IF(('Synthèse PER'!P38="A faire")*AND('Synthèse PER'!E38="Industrie"),'Synthèse PER'!J38,0)</f>
        <v>0</v>
      </c>
      <c r="AZ38" s="290">
        <f>IF(('Synthèse PER'!P38="A faire")*AND('Synthèse PER'!E38="Logement"),'Synthèse PER'!J38,0)</f>
        <v>0</v>
      </c>
      <c r="BA38" s="290">
        <f>IF(('Synthèse PER'!P38="A faire")*AND('Synthèse PER'!E38="Tertiaire"),'Synthèse PER'!J38,0)</f>
        <v>0</v>
      </c>
      <c r="BB38" s="290">
        <f>IF(('Synthèse PER'!P38="A faire")*AND('Synthèse PER'!E38="Transport"),'Synthèse PER'!J38,0)</f>
        <v>0</v>
      </c>
      <c r="BC38" s="290">
        <f>IF(('Synthèse PER'!P38="A faire")*AND('Synthèse PER'!E38="Communal"),'Synthèse PER'!J38,0)</f>
        <v>0</v>
      </c>
      <c r="BD38" s="288"/>
      <c r="BE38" s="290">
        <f>IF(('Synthèse PER'!P38="A faire")*AND('Synthèse PER'!E38="Territoire"),'Synthèse PER'!K38,0)</f>
        <v>0</v>
      </c>
      <c r="BF38" s="290">
        <f>IF(('Synthèse PER'!P38="A faire")*AND('Synthèse PER'!E38="Agriculture"),'Synthèse PER'!K38,0)</f>
        <v>0</v>
      </c>
      <c r="BG38" s="290">
        <f>IF(('Synthèse PER'!P38="A faire")*AND('Synthèse PER'!E38="Industrie"),'Synthèse PER'!K38,0)</f>
        <v>0</v>
      </c>
      <c r="BH38" s="290">
        <f>IF(('Synthèse PER'!P38="A faire")*AND('Synthèse PER'!E38="Logement"),'Synthèse PER'!K38,0)</f>
        <v>0</v>
      </c>
      <c r="BI38" s="290">
        <f>IF(('Synthèse PER'!P38="A faire")*AND('Synthèse PER'!E38="Tertiaire"),'Synthèse PER'!K38,0)</f>
        <v>0</v>
      </c>
      <c r="BJ38" s="290">
        <f>IF(('Synthèse PER'!P38="A faire")*AND('Synthèse PER'!E38="Transport"),'Synthèse PER'!K38,0)</f>
        <v>0</v>
      </c>
      <c r="BK38" s="290">
        <f>IF(('Synthèse PER'!P38="A faire")*AND('Synthèse PER'!E38="Communal"),'Synthèse PER'!K38,0)</f>
        <v>0</v>
      </c>
      <c r="BL38" s="288"/>
      <c r="BM38" s="290">
        <f>IF(('Synthèse PER'!P38="A faire")*AND('Synthèse PER'!E38="Territoire"),'Synthèse PER'!L38,0)</f>
        <v>0</v>
      </c>
      <c r="BN38" s="290">
        <f>IF(('Synthèse PER'!P38="A faire")*AND('Synthèse PER'!E38="Agriculture"),'Synthèse PER'!L38,0)</f>
        <v>0</v>
      </c>
      <c r="BO38" s="290">
        <f>IF(('Synthèse PER'!P38="A faire")*AND('Synthèse PER'!E38="Industrie"),'Synthèse PER'!L38,0)</f>
        <v>0</v>
      </c>
      <c r="BP38" s="290">
        <f>IF(('Synthèse PER'!P38="A faire")*AND('Synthèse PER'!E38="Logement"),'Synthèse PER'!L38,0)</f>
        <v>0</v>
      </c>
      <c r="BQ38" s="290">
        <f>IF(('Synthèse PER'!P38="A faire")*AND('Synthèse PER'!E38="Tertiaire"),'Synthèse PER'!L38,0)</f>
        <v>0</v>
      </c>
      <c r="BR38" s="290">
        <f>IF(('Synthèse PER'!P38="A faire")*AND('Synthèse PER'!E38="Transport"),'Synthèse PER'!L38,0)</f>
        <v>0</v>
      </c>
      <c r="BS38" s="290">
        <f>IF(('Synthèse PER'!P38="A faire")*AND('Synthèse PER'!E38="Communal"),'Synthèse PER'!L38,0)</f>
        <v>0</v>
      </c>
      <c r="BT38" s="290">
        <f>IF(('Synthèse PER'!Q38="A faire")*AND('Synthèse PER'!F38="Communal"),'Synthèse PER'!M38,0)</f>
        <v>0</v>
      </c>
    </row>
    <row r="39" spans="1:73" s="139" customFormat="1" x14ac:dyDescent="0.25">
      <c r="A39" s="369" t="s">
        <v>75</v>
      </c>
      <c r="B39" s="414" t="str">
        <f>'ADU-7'!B$3:E$3</f>
        <v>Performance énergétique</v>
      </c>
      <c r="C39" s="419" t="str">
        <f>'ADU-7'!$B$8</f>
        <v xml:space="preserve">Logements </v>
      </c>
      <c r="D39" s="133" t="str">
        <f>'ADU-7'!$B$9</f>
        <v>Travaux d'isolation - PLANCHERS</v>
      </c>
      <c r="E39" s="133" t="str">
        <f>'ADU-7'!$B$4</f>
        <v>Logement</v>
      </c>
      <c r="F39" s="133" t="str">
        <f>'ADU-7'!$B$12</f>
        <v>Citoyen</v>
      </c>
      <c r="G39" s="133" t="str">
        <f>'ADU-7'!$B$6</f>
        <v>ECOPÄCK</v>
      </c>
      <c r="H39" s="134">
        <f>'ADU-7'!$B$17</f>
        <v>750000</v>
      </c>
      <c r="I39" s="133" t="str">
        <f>'ADU-7'!$B$7</f>
        <v>Primes RW</v>
      </c>
      <c r="J39" s="134">
        <f>'ADU-7'!$B$18</f>
        <v>60000</v>
      </c>
      <c r="K39" s="134">
        <f>'ADU-7'!$B$21</f>
        <v>15737.565814776404</v>
      </c>
      <c r="L39" s="134">
        <f>'ADU-7'!$B$22</f>
        <v>0</v>
      </c>
      <c r="M39" s="135">
        <f>'ADU-7'!$B$24</f>
        <v>43.844137531875568</v>
      </c>
      <c r="N39" s="135">
        <f>'ADU-7'!$B$19/1000</f>
        <v>224.82236878252007</v>
      </c>
      <c r="O39" s="136"/>
      <c r="P39" s="137" t="str">
        <f>'ADU-7'!$B$5</f>
        <v>A faire</v>
      </c>
      <c r="Q39" s="140">
        <f>'ADU-7'!$B$16</f>
        <v>2030</v>
      </c>
      <c r="R39" s="283" t="str">
        <f t="shared" si="45"/>
        <v/>
      </c>
      <c r="S39" s="138">
        <f t="shared" si="9"/>
        <v>0</v>
      </c>
      <c r="T39" s="138">
        <f t="shared" si="10"/>
        <v>0</v>
      </c>
      <c r="U39" s="138">
        <f t="shared" si="11"/>
        <v>0</v>
      </c>
      <c r="V39" s="138">
        <f t="shared" si="12"/>
        <v>0</v>
      </c>
      <c r="W39" s="138">
        <f t="shared" si="13"/>
        <v>0</v>
      </c>
      <c r="X39" s="138">
        <f t="shared" si="14"/>
        <v>0</v>
      </c>
      <c r="Y39" s="138">
        <f t="shared" si="15"/>
        <v>0</v>
      </c>
      <c r="AA39" s="287">
        <f>IF(('Synthèse PER'!P39="A faire")*AND('Synthèse PER'!F39="Agriculture"),'Synthèse PER'!H39,0)</f>
        <v>0</v>
      </c>
      <c r="AB39" s="287">
        <f>IF(('Synthèse PER'!P39="A faire")*AND('Synthèse PER'!F39="Industrie"),'Synthèse PER'!H39,0)</f>
        <v>0</v>
      </c>
      <c r="AC39" s="287">
        <f>IF(('Synthèse PER'!P39="A faire")*AND('Synthèse PER'!F39="Citoyen"),'Synthèse PER'!H39,0)</f>
        <v>750000</v>
      </c>
      <c r="AD39" s="287">
        <f>IF(('Synthèse PER'!P39="A faire")*AND('Synthèse PER'!F39="IDELUX"),'Synthèse PER'!H39,0)</f>
        <v>0</v>
      </c>
      <c r="AE39" s="290">
        <f>IF(('Synthèse PER'!P39="A faire")*AND('Synthèse PER'!F39="AC MESSANCY"),'Synthèse PER'!H39,0)</f>
        <v>0</v>
      </c>
      <c r="AF39" s="287">
        <f>IF(('Synthèse PER'!P39="A faire")*AND('Synthèse PER'!F39="Tertiaire"),'Synthèse PER'!H39,0)</f>
        <v>0</v>
      </c>
      <c r="AG39" s="288"/>
      <c r="AH39" s="290">
        <f>IF(('Synthèse PER'!P39="A faire")*AND('Synthèse PER'!F39="Agriculture"),'Synthèse PER'!J39,0)</f>
        <v>0</v>
      </c>
      <c r="AI39" s="290">
        <f>IF(('Synthèse PER'!P39="A faire")*AND('Synthèse PER'!F39="Industrie"),'Synthèse PER'!J39,0)</f>
        <v>0</v>
      </c>
      <c r="AJ39" s="290">
        <f>IF(('Synthèse PER'!P39="A faire")*AND('Synthèse PER'!F39="Citoyen"),'Synthèse PER'!J39,0)</f>
        <v>60000</v>
      </c>
      <c r="AK39" s="290">
        <f>IF(('Synthèse PER'!P39="A faire")*AND('Synthèse PER'!F39="IDELUX"),'Synthèse PER'!J39,0)</f>
        <v>0</v>
      </c>
      <c r="AL39" s="290">
        <f>IF(('Synthèse PER'!P39="A faire")*AND('Synthèse PER'!F39="AC MESSANCY"),'Synthèse PER'!J39,0)</f>
        <v>0</v>
      </c>
      <c r="AM39" s="290">
        <f>IF(('Synthèse PER'!P39="A faire")*AND('Synthèse PER'!F39="Tertiaire"),'Synthèse PER'!J39,0)</f>
        <v>0</v>
      </c>
      <c r="AN39" s="288"/>
      <c r="AO39" s="290">
        <f>IF(('Synthèse PER'!P39="A faire")*AND('Synthèse PER'!E39="Territoire"),'Synthèse PER'!H39,0)</f>
        <v>0</v>
      </c>
      <c r="AP39" s="290">
        <f>IF(('Synthèse PER'!P39="A faire")*AND('Synthèse PER'!E39="Agriculture"),'Synthèse PER'!H39,0)</f>
        <v>0</v>
      </c>
      <c r="AQ39" s="290">
        <f>IF(('Synthèse PER'!P39="A faire")*AND('Synthèse PER'!E39="Industrie"),'Synthèse PER'!H39,0)</f>
        <v>0</v>
      </c>
      <c r="AR39" s="290">
        <f>IF(('Synthèse PER'!P39="A faire")*AND('Synthèse PER'!E39="Logement"),'Synthèse PER'!H39,0)</f>
        <v>750000</v>
      </c>
      <c r="AS39" s="290">
        <f>IF(('Synthèse PER'!P39="A faire")*AND('Synthèse PER'!E39="Tertiaire"),'Synthèse PER'!H39,0)</f>
        <v>0</v>
      </c>
      <c r="AT39" s="290">
        <f>IF(('Synthèse PER'!P39="A faire")*AND('Synthèse PER'!E39="Transport"),'Synthèse PER'!H39,0)</f>
        <v>0</v>
      </c>
      <c r="AU39" s="290">
        <f>IF(('Synthèse PER'!P39="A faire")*AND('Synthèse PER'!E39="Communal"),'Synthèse PER'!H39,0)</f>
        <v>0</v>
      </c>
      <c r="AV39" s="288"/>
      <c r="AW39" s="290">
        <f>IF(('Synthèse PER'!P39="A faire")*AND('Synthèse PER'!E39="Territoire"),'Synthèse PER'!J39,0)</f>
        <v>0</v>
      </c>
      <c r="AX39" s="290">
        <f>IF(('Synthèse PER'!P39="A faire")*AND('Synthèse PER'!E39="Agriculture"),'Synthèse PER'!J39,0)</f>
        <v>0</v>
      </c>
      <c r="AY39" s="290">
        <f>IF(('Synthèse PER'!P39="A faire")*AND('Synthèse PER'!E39="Industrie"),'Synthèse PER'!J39,0)</f>
        <v>0</v>
      </c>
      <c r="AZ39" s="290">
        <f>IF(('Synthèse PER'!P39="A faire")*AND('Synthèse PER'!E39="Logement"),'Synthèse PER'!J39,0)</f>
        <v>60000</v>
      </c>
      <c r="BA39" s="290">
        <f>IF(('Synthèse PER'!P39="A faire")*AND('Synthèse PER'!E39="Tertiaire"),'Synthèse PER'!J39,0)</f>
        <v>0</v>
      </c>
      <c r="BB39" s="290">
        <f>IF(('Synthèse PER'!P39="A faire")*AND('Synthèse PER'!E39="Transport"),'Synthèse PER'!J39,0)</f>
        <v>0</v>
      </c>
      <c r="BC39" s="290">
        <f>IF(('Synthèse PER'!P39="A faire")*AND('Synthèse PER'!E39="Communal"),'Synthèse PER'!J39,0)</f>
        <v>0</v>
      </c>
      <c r="BD39" s="288"/>
      <c r="BE39" s="290">
        <f>IF(('Synthèse PER'!P39="A faire")*AND('Synthèse PER'!E39="Territoire"),'Synthèse PER'!K39,0)</f>
        <v>0</v>
      </c>
      <c r="BF39" s="290">
        <f>IF(('Synthèse PER'!P39="A faire")*AND('Synthèse PER'!E39="Agriculture"),'Synthèse PER'!K39,0)</f>
        <v>0</v>
      </c>
      <c r="BG39" s="290">
        <f>IF(('Synthèse PER'!P39="A faire")*AND('Synthèse PER'!E39="Industrie"),'Synthèse PER'!K39,0)</f>
        <v>0</v>
      </c>
      <c r="BH39" s="290">
        <f>IF(('Synthèse PER'!P39="A faire")*AND('Synthèse PER'!E39="Logement"),'Synthèse PER'!K39,0)</f>
        <v>15737.565814776404</v>
      </c>
      <c r="BI39" s="290">
        <f>IF(('Synthèse PER'!P39="A faire")*AND('Synthèse PER'!E39="Tertiaire"),'Synthèse PER'!K39,0)</f>
        <v>0</v>
      </c>
      <c r="BJ39" s="290">
        <f>IF(('Synthèse PER'!P39="A faire")*AND('Synthèse PER'!E39="Transport"),'Synthèse PER'!K39,0)</f>
        <v>0</v>
      </c>
      <c r="BK39" s="290">
        <f>IF(('Synthèse PER'!P39="A faire")*AND('Synthèse PER'!E39="Communal"),'Synthèse PER'!K39,0)</f>
        <v>0</v>
      </c>
      <c r="BL39" s="288"/>
      <c r="BM39" s="290">
        <f>IF(('Synthèse PER'!P39="A faire")*AND('Synthèse PER'!E39="Territoire"),'Synthèse PER'!L39,0)</f>
        <v>0</v>
      </c>
      <c r="BN39" s="290">
        <f>IF(('Synthèse PER'!P39="A faire")*AND('Synthèse PER'!E39="Agriculture"),'Synthèse PER'!L39,0)</f>
        <v>0</v>
      </c>
      <c r="BO39" s="290">
        <f>IF(('Synthèse PER'!P39="A faire")*AND('Synthèse PER'!E39="Industrie"),'Synthèse PER'!L39,0)</f>
        <v>0</v>
      </c>
      <c r="BP39" s="290">
        <f>IF(('Synthèse PER'!P39="A faire")*AND('Synthèse PER'!E39="Logement"),'Synthèse PER'!L39,0)</f>
        <v>0</v>
      </c>
      <c r="BQ39" s="290">
        <f>IF(('Synthèse PER'!P39="A faire")*AND('Synthèse PER'!E39="Tertiaire"),'Synthèse PER'!L39,0)</f>
        <v>0</v>
      </c>
      <c r="BR39" s="290">
        <f>IF(('Synthèse PER'!P39="A faire")*AND('Synthèse PER'!E39="Transport"),'Synthèse PER'!L39,0)</f>
        <v>0</v>
      </c>
      <c r="BS39" s="290">
        <f>IF(('Synthèse PER'!P39="A faire")*AND('Synthèse PER'!E39="Communal"),'Synthèse PER'!L39,0)</f>
        <v>0</v>
      </c>
      <c r="BT39" s="290">
        <f>IF(('Synthèse PER'!Q39="A faire")*AND('Synthèse PER'!F39="Communal"),'Synthèse PER'!M39,0)</f>
        <v>0</v>
      </c>
    </row>
    <row r="40" spans="1:73" s="139" customFormat="1" x14ac:dyDescent="0.25">
      <c r="A40" s="369" t="s">
        <v>79</v>
      </c>
      <c r="B40" s="414" t="str">
        <f>'ADU-8'!B$3:E$3</f>
        <v>Performance énergétique</v>
      </c>
      <c r="C40" s="419" t="str">
        <f>'ADU-8'!$B$8</f>
        <v xml:space="preserve">Logements </v>
      </c>
      <c r="D40" s="133" t="str">
        <f>'ADU-8'!$B$9</f>
        <v>Travaux d'isolation -TOITURES</v>
      </c>
      <c r="E40" s="133" t="str">
        <f>'ADU-8'!$B$4</f>
        <v>Logement</v>
      </c>
      <c r="F40" s="133" t="str">
        <f>'ADU-8'!$B$12</f>
        <v>Citoyen</v>
      </c>
      <c r="G40" s="133" t="str">
        <f>'ADU-8'!$B$6</f>
        <v>ECOPÄCK</v>
      </c>
      <c r="H40" s="134">
        <f>'ADU-8'!$B$17</f>
        <v>2750000</v>
      </c>
      <c r="I40" s="133" t="str">
        <f>'ADU-8'!$B$7</f>
        <v>Primes RW</v>
      </c>
      <c r="J40" s="134">
        <f>'ADU-8'!$B$18</f>
        <v>220000</v>
      </c>
      <c r="K40" s="134">
        <f>'ADU-8'!$B$21</f>
        <v>180457.42134276946</v>
      </c>
      <c r="L40" s="134">
        <f>'ADU-8'!$B$22</f>
        <v>0</v>
      </c>
      <c r="M40" s="135">
        <f>'ADU-8'!$B$24</f>
        <v>14.019927699146255</v>
      </c>
      <c r="N40" s="135">
        <f>'ADU-8'!$B$19/1000</f>
        <v>2098.3421086368544</v>
      </c>
      <c r="O40" s="136"/>
      <c r="P40" s="137" t="str">
        <f>'ADU-8'!$B$5</f>
        <v>A faire</v>
      </c>
      <c r="Q40" s="140">
        <f>'ADU-8'!$B$16</f>
        <v>2030</v>
      </c>
      <c r="R40" s="283" t="str">
        <f t="shared" si="45"/>
        <v/>
      </c>
      <c r="S40" s="138">
        <f t="shared" si="9"/>
        <v>0</v>
      </c>
      <c r="T40" s="138">
        <f t="shared" si="10"/>
        <v>0</v>
      </c>
      <c r="U40" s="138">
        <f t="shared" si="11"/>
        <v>0</v>
      </c>
      <c r="V40" s="138">
        <f t="shared" si="12"/>
        <v>0</v>
      </c>
      <c r="W40" s="138">
        <f t="shared" si="13"/>
        <v>0</v>
      </c>
      <c r="X40" s="138">
        <f t="shared" si="14"/>
        <v>0</v>
      </c>
      <c r="Y40" s="138">
        <f t="shared" si="15"/>
        <v>0</v>
      </c>
      <c r="AA40" s="287">
        <f>IF(('Synthèse PER'!P40="A faire")*AND('Synthèse PER'!F40="Agriculture"),'Synthèse PER'!H40,0)</f>
        <v>0</v>
      </c>
      <c r="AB40" s="287">
        <f>IF(('Synthèse PER'!P40="A faire")*AND('Synthèse PER'!F40="Industrie"),'Synthèse PER'!H40,0)</f>
        <v>0</v>
      </c>
      <c r="AC40" s="287">
        <f>IF(('Synthèse PER'!P40="A faire")*AND('Synthèse PER'!F40="Citoyen"),'Synthèse PER'!H40,0)</f>
        <v>2750000</v>
      </c>
      <c r="AD40" s="287">
        <f>IF(('Synthèse PER'!P40="A faire")*AND('Synthèse PER'!F40="IDELUX"),'Synthèse PER'!H40,0)</f>
        <v>0</v>
      </c>
      <c r="AE40" s="290">
        <f>IF(('Synthèse PER'!P40="A faire")*AND('Synthèse PER'!F40="AC MESSANCY"),'Synthèse PER'!H40,0)</f>
        <v>0</v>
      </c>
      <c r="AF40" s="287">
        <f>IF(('Synthèse PER'!P40="A faire")*AND('Synthèse PER'!F40="Tertiaire"),'Synthèse PER'!H40,0)</f>
        <v>0</v>
      </c>
      <c r="AG40" s="288"/>
      <c r="AH40" s="290">
        <f>IF(('Synthèse PER'!P40="A faire")*AND('Synthèse PER'!F40="Agriculture"),'Synthèse PER'!J40,0)</f>
        <v>0</v>
      </c>
      <c r="AI40" s="290">
        <f>IF(('Synthèse PER'!P40="A faire")*AND('Synthèse PER'!F40="Industrie"),'Synthèse PER'!J40,0)</f>
        <v>0</v>
      </c>
      <c r="AJ40" s="290">
        <f>IF(('Synthèse PER'!P40="A faire")*AND('Synthèse PER'!F40="Citoyen"),'Synthèse PER'!J40,0)</f>
        <v>220000</v>
      </c>
      <c r="AK40" s="290">
        <f>IF(('Synthèse PER'!P40="A faire")*AND('Synthèse PER'!F40="IDELUX"),'Synthèse PER'!J40,0)</f>
        <v>0</v>
      </c>
      <c r="AL40" s="290">
        <f>IF(('Synthèse PER'!P40="A faire")*AND('Synthèse PER'!F40="AC MESSANCY"),'Synthèse PER'!J40,0)</f>
        <v>0</v>
      </c>
      <c r="AM40" s="290">
        <f>IF(('Synthèse PER'!P40="A faire")*AND('Synthèse PER'!F40="Tertiaire"),'Synthèse PER'!J40,0)</f>
        <v>0</v>
      </c>
      <c r="AN40" s="288"/>
      <c r="AO40" s="290">
        <f>IF(('Synthèse PER'!P40="A faire")*AND('Synthèse PER'!E40="Territoire"),'Synthèse PER'!H40,0)</f>
        <v>0</v>
      </c>
      <c r="AP40" s="290">
        <f>IF(('Synthèse PER'!P40="A faire")*AND('Synthèse PER'!E40="Agriculture"),'Synthèse PER'!H40,0)</f>
        <v>0</v>
      </c>
      <c r="AQ40" s="290">
        <f>IF(('Synthèse PER'!P40="A faire")*AND('Synthèse PER'!E40="Industrie"),'Synthèse PER'!H40,0)</f>
        <v>0</v>
      </c>
      <c r="AR40" s="290">
        <f>IF(('Synthèse PER'!P40="A faire")*AND('Synthèse PER'!E40="Logement"),'Synthèse PER'!H40,0)</f>
        <v>2750000</v>
      </c>
      <c r="AS40" s="290">
        <f>IF(('Synthèse PER'!P40="A faire")*AND('Synthèse PER'!E40="Tertiaire"),'Synthèse PER'!H40,0)</f>
        <v>0</v>
      </c>
      <c r="AT40" s="290">
        <f>IF(('Synthèse PER'!P40="A faire")*AND('Synthèse PER'!E40="Transport"),'Synthèse PER'!H40,0)</f>
        <v>0</v>
      </c>
      <c r="AU40" s="290">
        <f>IF(('Synthèse PER'!P40="A faire")*AND('Synthèse PER'!E40="Communal"),'Synthèse PER'!H40,0)</f>
        <v>0</v>
      </c>
      <c r="AV40" s="288"/>
      <c r="AW40" s="290">
        <f>IF(('Synthèse PER'!P40="A faire")*AND('Synthèse PER'!E40="Territoire"),'Synthèse PER'!J40,0)</f>
        <v>0</v>
      </c>
      <c r="AX40" s="290">
        <f>IF(('Synthèse PER'!P40="A faire")*AND('Synthèse PER'!E40="Agriculture"),'Synthèse PER'!J40,0)</f>
        <v>0</v>
      </c>
      <c r="AY40" s="290">
        <f>IF(('Synthèse PER'!P40="A faire")*AND('Synthèse PER'!E40="Industrie"),'Synthèse PER'!J40,0)</f>
        <v>0</v>
      </c>
      <c r="AZ40" s="290">
        <f>IF(('Synthèse PER'!P40="A faire")*AND('Synthèse PER'!E40="Logement"),'Synthèse PER'!J40,0)</f>
        <v>220000</v>
      </c>
      <c r="BA40" s="290">
        <f>IF(('Synthèse PER'!P40="A faire")*AND('Synthèse PER'!E40="Tertiaire"),'Synthèse PER'!J40,0)</f>
        <v>0</v>
      </c>
      <c r="BB40" s="290">
        <f>IF(('Synthèse PER'!P40="A faire")*AND('Synthèse PER'!E40="Transport"),'Synthèse PER'!J40,0)</f>
        <v>0</v>
      </c>
      <c r="BC40" s="290">
        <f>IF(('Synthèse PER'!P40="A faire")*AND('Synthèse PER'!E40="Communal"),'Synthèse PER'!J40,0)</f>
        <v>0</v>
      </c>
      <c r="BD40" s="288"/>
      <c r="BE40" s="290">
        <f>IF(('Synthèse PER'!P40="A faire")*AND('Synthèse PER'!E40="Territoire"),'Synthèse PER'!K40,0)</f>
        <v>0</v>
      </c>
      <c r="BF40" s="290">
        <f>IF(('Synthèse PER'!P40="A faire")*AND('Synthèse PER'!E40="Agriculture"),'Synthèse PER'!K40,0)</f>
        <v>0</v>
      </c>
      <c r="BG40" s="290">
        <f>IF(('Synthèse PER'!P40="A faire")*AND('Synthèse PER'!E40="Industrie"),'Synthèse PER'!K40,0)</f>
        <v>0</v>
      </c>
      <c r="BH40" s="290">
        <f>IF(('Synthèse PER'!P40="A faire")*AND('Synthèse PER'!E40="Logement"),'Synthèse PER'!K40,0)</f>
        <v>180457.42134276946</v>
      </c>
      <c r="BI40" s="290">
        <f>IF(('Synthèse PER'!P40="A faire")*AND('Synthèse PER'!E40="Tertiaire"),'Synthèse PER'!K40,0)</f>
        <v>0</v>
      </c>
      <c r="BJ40" s="290">
        <f>IF(('Synthèse PER'!P40="A faire")*AND('Synthèse PER'!E40="Transport"),'Synthèse PER'!K40,0)</f>
        <v>0</v>
      </c>
      <c r="BK40" s="290">
        <f>IF(('Synthèse PER'!P40="A faire")*AND('Synthèse PER'!E40="Communal"),'Synthèse PER'!K40,0)</f>
        <v>0</v>
      </c>
      <c r="BL40" s="288"/>
      <c r="BM40" s="290">
        <f>IF(('Synthèse PER'!P40="A faire")*AND('Synthèse PER'!E40="Territoire"),'Synthèse PER'!L40,0)</f>
        <v>0</v>
      </c>
      <c r="BN40" s="290">
        <f>IF(('Synthèse PER'!P40="A faire")*AND('Synthèse PER'!E40="Agriculture"),'Synthèse PER'!L40,0)</f>
        <v>0</v>
      </c>
      <c r="BO40" s="290">
        <f>IF(('Synthèse PER'!P40="A faire")*AND('Synthèse PER'!E40="Industrie"),'Synthèse PER'!L40,0)</f>
        <v>0</v>
      </c>
      <c r="BP40" s="290">
        <f>IF(('Synthèse PER'!P40="A faire")*AND('Synthèse PER'!E40="Logement"),'Synthèse PER'!L40,0)</f>
        <v>0</v>
      </c>
      <c r="BQ40" s="290">
        <f>IF(('Synthèse PER'!P40="A faire")*AND('Synthèse PER'!E40="Tertiaire"),'Synthèse PER'!L40,0)</f>
        <v>0</v>
      </c>
      <c r="BR40" s="290">
        <f>IF(('Synthèse PER'!P40="A faire")*AND('Synthèse PER'!E40="Transport"),'Synthèse PER'!L40,0)</f>
        <v>0</v>
      </c>
      <c r="BS40" s="290">
        <f>IF(('Synthèse PER'!P40="A faire")*AND('Synthèse PER'!E40="Communal"),'Synthèse PER'!L40,0)</f>
        <v>0</v>
      </c>
      <c r="BT40" s="290">
        <f>IF(('Synthèse PER'!Q40="A faire")*AND('Synthèse PER'!F40="Communal"),'Synthèse PER'!M40,0)</f>
        <v>0</v>
      </c>
    </row>
    <row r="41" spans="1:73" s="139" customFormat="1" x14ac:dyDescent="0.25">
      <c r="A41" s="369" t="s">
        <v>80</v>
      </c>
      <c r="B41" s="414" t="str">
        <f>'ADU-9'!B$3:E$3</f>
        <v>Performance énergétique</v>
      </c>
      <c r="C41" s="419" t="str">
        <f>'ADU-9'!$B$8</f>
        <v xml:space="preserve">Logements </v>
      </c>
      <c r="D41" s="133" t="str">
        <f>'ADU-9'!$B$9</f>
        <v>Travaux d'isolation _ MURS EXTERIEURS</v>
      </c>
      <c r="E41" s="133" t="str">
        <f>'ADU-9'!$B$4</f>
        <v>Logement</v>
      </c>
      <c r="F41" s="133" t="str">
        <f>'ADU-9'!$B$12</f>
        <v>Citoyen</v>
      </c>
      <c r="G41" s="133" t="str">
        <f>'ADU-9'!$B$6</f>
        <v>ECOPÄCK</v>
      </c>
      <c r="H41" s="134">
        <f>'ADU-9'!$B$17</f>
        <v>1400000</v>
      </c>
      <c r="I41" s="133" t="str">
        <f>'ADU-9'!$B$7</f>
        <v>Primes RW</v>
      </c>
      <c r="J41" s="134">
        <f>'ADU-9'!$B$18</f>
        <v>112000</v>
      </c>
      <c r="K41" s="134">
        <f>'ADU-9'!$B$21</f>
        <v>32224.539525494543</v>
      </c>
      <c r="L41" s="134">
        <f>'ADU-9'!$B$22</f>
        <v>0</v>
      </c>
      <c r="M41" s="135">
        <f>'ADU-9'!$B$24</f>
        <v>39.969539331384233</v>
      </c>
      <c r="N41" s="135">
        <f>'ADU-9'!$B$19/1000</f>
        <v>374.70394797086681</v>
      </c>
      <c r="O41" s="136"/>
      <c r="P41" s="137" t="str">
        <f>'ADU-9'!$B$5</f>
        <v>A faire</v>
      </c>
      <c r="Q41" s="140">
        <f>'ADU-9'!$B$16</f>
        <v>2030</v>
      </c>
      <c r="R41" s="283" t="str">
        <f t="shared" si="45"/>
        <v/>
      </c>
      <c r="S41" s="138">
        <f t="shared" si="9"/>
        <v>0</v>
      </c>
      <c r="T41" s="138">
        <f t="shared" si="10"/>
        <v>0</v>
      </c>
      <c r="U41" s="138">
        <f t="shared" si="11"/>
        <v>0</v>
      </c>
      <c r="V41" s="138">
        <f t="shared" si="12"/>
        <v>0</v>
      </c>
      <c r="W41" s="138">
        <f t="shared" si="13"/>
        <v>0</v>
      </c>
      <c r="X41" s="138">
        <f t="shared" si="14"/>
        <v>0</v>
      </c>
      <c r="Y41" s="138">
        <f t="shared" si="15"/>
        <v>0</v>
      </c>
      <c r="AA41" s="287">
        <f>IF(('Synthèse PER'!P41="A faire")*AND('Synthèse PER'!F41="Agriculture"),'Synthèse PER'!H41,0)</f>
        <v>0</v>
      </c>
      <c r="AB41" s="287">
        <f>IF(('Synthèse PER'!P41="A faire")*AND('Synthèse PER'!F41="Industrie"),'Synthèse PER'!H41,0)</f>
        <v>0</v>
      </c>
      <c r="AC41" s="287">
        <f>IF(('Synthèse PER'!P41="A faire")*AND('Synthèse PER'!F41="Citoyen"),'Synthèse PER'!H41,0)</f>
        <v>1400000</v>
      </c>
      <c r="AD41" s="287">
        <f>IF(('Synthèse PER'!P41="A faire")*AND('Synthèse PER'!F41="IDELUX"),'Synthèse PER'!H41,0)</f>
        <v>0</v>
      </c>
      <c r="AE41" s="290">
        <f>IF(('Synthèse PER'!P41="A faire")*AND('Synthèse PER'!F41="AC MESSANCY"),'Synthèse PER'!H41,0)</f>
        <v>0</v>
      </c>
      <c r="AF41" s="287">
        <f>IF(('Synthèse PER'!P41="A faire")*AND('Synthèse PER'!F41="Tertiaire"),'Synthèse PER'!H41,0)</f>
        <v>0</v>
      </c>
      <c r="AG41" s="288"/>
      <c r="AH41" s="290">
        <f>IF(('Synthèse PER'!P41="A faire")*AND('Synthèse PER'!F41="Agriculture"),'Synthèse PER'!J41,0)</f>
        <v>0</v>
      </c>
      <c r="AI41" s="290">
        <f>IF(('Synthèse PER'!P41="A faire")*AND('Synthèse PER'!F41="Industrie"),'Synthèse PER'!J41,0)</f>
        <v>0</v>
      </c>
      <c r="AJ41" s="290">
        <f>IF(('Synthèse PER'!P41="A faire")*AND('Synthèse PER'!F41="Citoyen"),'Synthèse PER'!J41,0)</f>
        <v>112000</v>
      </c>
      <c r="AK41" s="290">
        <f>IF(('Synthèse PER'!P41="A faire")*AND('Synthèse PER'!F41="IDELUX"),'Synthèse PER'!J41,0)</f>
        <v>0</v>
      </c>
      <c r="AL41" s="290">
        <f>IF(('Synthèse PER'!P41="A faire")*AND('Synthèse PER'!F41="AC MESSANCY"),'Synthèse PER'!J41,0)</f>
        <v>0</v>
      </c>
      <c r="AM41" s="290">
        <f>IF(('Synthèse PER'!P41="A faire")*AND('Synthèse PER'!F41="Tertiaire"),'Synthèse PER'!J41,0)</f>
        <v>0</v>
      </c>
      <c r="AN41" s="288"/>
      <c r="AO41" s="290">
        <f>IF(('Synthèse PER'!P41="A faire")*AND('Synthèse PER'!E41="Territoire"),'Synthèse PER'!H41,0)</f>
        <v>0</v>
      </c>
      <c r="AP41" s="290">
        <f>IF(('Synthèse PER'!P41="A faire")*AND('Synthèse PER'!E41="Agriculture"),'Synthèse PER'!H41,0)</f>
        <v>0</v>
      </c>
      <c r="AQ41" s="290">
        <f>IF(('Synthèse PER'!P41="A faire")*AND('Synthèse PER'!E41="Industrie"),'Synthèse PER'!H41,0)</f>
        <v>0</v>
      </c>
      <c r="AR41" s="290">
        <f>IF(('Synthèse PER'!P41="A faire")*AND('Synthèse PER'!E41="Logement"),'Synthèse PER'!H41,0)</f>
        <v>1400000</v>
      </c>
      <c r="AS41" s="290">
        <f>IF(('Synthèse PER'!P41="A faire")*AND('Synthèse PER'!E41="Tertiaire"),'Synthèse PER'!H41,0)</f>
        <v>0</v>
      </c>
      <c r="AT41" s="290">
        <f>IF(('Synthèse PER'!P41="A faire")*AND('Synthèse PER'!E41="Transport"),'Synthèse PER'!H41,0)</f>
        <v>0</v>
      </c>
      <c r="AU41" s="290">
        <f>IF(('Synthèse PER'!P41="A faire")*AND('Synthèse PER'!E41="Communal"),'Synthèse PER'!H41,0)</f>
        <v>0</v>
      </c>
      <c r="AV41" s="288"/>
      <c r="AW41" s="290">
        <f>IF(('Synthèse PER'!P41="A faire")*AND('Synthèse PER'!E41="Territoire"),'Synthèse PER'!J41,0)</f>
        <v>0</v>
      </c>
      <c r="AX41" s="290">
        <f>IF(('Synthèse PER'!P41="A faire")*AND('Synthèse PER'!E41="Agriculture"),'Synthèse PER'!J41,0)</f>
        <v>0</v>
      </c>
      <c r="AY41" s="290">
        <f>IF(('Synthèse PER'!P41="A faire")*AND('Synthèse PER'!E41="Industrie"),'Synthèse PER'!J41,0)</f>
        <v>0</v>
      </c>
      <c r="AZ41" s="290">
        <f>IF(('Synthèse PER'!P41="A faire")*AND('Synthèse PER'!E41="Logement"),'Synthèse PER'!J41,0)</f>
        <v>112000</v>
      </c>
      <c r="BA41" s="290">
        <f>IF(('Synthèse PER'!P41="A faire")*AND('Synthèse PER'!E41="Tertiaire"),'Synthèse PER'!J41,0)</f>
        <v>0</v>
      </c>
      <c r="BB41" s="290">
        <f>IF(('Synthèse PER'!P41="A faire")*AND('Synthèse PER'!E41="Transport"),'Synthèse PER'!J41,0)</f>
        <v>0</v>
      </c>
      <c r="BC41" s="290">
        <f>IF(('Synthèse PER'!P41="A faire")*AND('Synthèse PER'!E41="Communal"),'Synthèse PER'!J41,0)</f>
        <v>0</v>
      </c>
      <c r="BD41" s="288"/>
      <c r="BE41" s="290">
        <f>IF(('Synthèse PER'!P41="A faire")*AND('Synthèse PER'!E41="Territoire"),'Synthèse PER'!K41,0)</f>
        <v>0</v>
      </c>
      <c r="BF41" s="290">
        <f>IF(('Synthèse PER'!P41="A faire")*AND('Synthèse PER'!E41="Agriculture"),'Synthèse PER'!K41,0)</f>
        <v>0</v>
      </c>
      <c r="BG41" s="290">
        <f>IF(('Synthèse PER'!P41="A faire")*AND('Synthèse PER'!E41="Industrie"),'Synthèse PER'!K41,0)</f>
        <v>0</v>
      </c>
      <c r="BH41" s="290">
        <f>IF(('Synthèse PER'!P41="A faire")*AND('Synthèse PER'!E41="Logement"),'Synthèse PER'!K41,0)</f>
        <v>32224.539525494543</v>
      </c>
      <c r="BI41" s="290">
        <f>IF(('Synthèse PER'!P41="A faire")*AND('Synthèse PER'!E41="Tertiaire"),'Synthèse PER'!K41,0)</f>
        <v>0</v>
      </c>
      <c r="BJ41" s="290">
        <f>IF(('Synthèse PER'!P41="A faire")*AND('Synthèse PER'!E41="Transport"),'Synthèse PER'!K41,0)</f>
        <v>0</v>
      </c>
      <c r="BK41" s="290">
        <f>IF(('Synthèse PER'!P41="A faire")*AND('Synthèse PER'!E41="Communal"),'Synthèse PER'!K41,0)</f>
        <v>0</v>
      </c>
      <c r="BL41" s="288"/>
      <c r="BM41" s="290">
        <f>IF(('Synthèse PER'!P41="A faire")*AND('Synthèse PER'!E41="Territoire"),'Synthèse PER'!L41,0)</f>
        <v>0</v>
      </c>
      <c r="BN41" s="290">
        <f>IF(('Synthèse PER'!P41="A faire")*AND('Synthèse PER'!E41="Agriculture"),'Synthèse PER'!L41,0)</f>
        <v>0</v>
      </c>
      <c r="BO41" s="290">
        <f>IF(('Synthèse PER'!P41="A faire")*AND('Synthèse PER'!E41="Industrie"),'Synthèse PER'!L41,0)</f>
        <v>0</v>
      </c>
      <c r="BP41" s="290">
        <f>IF(('Synthèse PER'!P41="A faire")*AND('Synthèse PER'!E41="Logement"),'Synthèse PER'!L41,0)</f>
        <v>0</v>
      </c>
      <c r="BQ41" s="290">
        <f>IF(('Synthèse PER'!P41="A faire")*AND('Synthèse PER'!E41="Tertiaire"),'Synthèse PER'!L41,0)</f>
        <v>0</v>
      </c>
      <c r="BR41" s="290">
        <f>IF(('Synthèse PER'!P41="A faire")*AND('Synthèse PER'!E41="Transport"),'Synthèse PER'!L41,0)</f>
        <v>0</v>
      </c>
      <c r="BS41" s="290">
        <f>IF(('Synthèse PER'!P41="A faire")*AND('Synthèse PER'!E41="Communal"),'Synthèse PER'!L41,0)</f>
        <v>0</v>
      </c>
      <c r="BT41" s="290">
        <f>IF(('Synthèse PER'!Q41="A faire")*AND('Synthèse PER'!F41="Communal"),'Synthèse PER'!M41,0)</f>
        <v>0</v>
      </c>
    </row>
    <row r="42" spans="1:73" s="139" customFormat="1" x14ac:dyDescent="0.25">
      <c r="A42" s="369" t="s">
        <v>81</v>
      </c>
      <c r="B42" s="414" t="str">
        <f>'ADU-10'!B$3:E$3</f>
        <v>Performance énergétique</v>
      </c>
      <c r="C42" s="419" t="str">
        <f>'ADU-10'!$B$8</f>
        <v xml:space="preserve">Logements </v>
      </c>
      <c r="D42" s="133" t="str">
        <f>'ADU-10'!$B$9</f>
        <v>Travaux d'isolation  - VITRAGES</v>
      </c>
      <c r="E42" s="133" t="str">
        <f>'ADU-10'!$B$4</f>
        <v>Logement</v>
      </c>
      <c r="F42" s="133" t="str">
        <f>'ADU-10'!$B$12</f>
        <v>Citoyen</v>
      </c>
      <c r="G42" s="133" t="str">
        <f>'ADU-10'!$B$6</f>
        <v>ECOPÄCK</v>
      </c>
      <c r="H42" s="134">
        <f>'ADU-10'!$B$17</f>
        <v>1620000</v>
      </c>
      <c r="I42" s="133" t="str">
        <f>'ADU-10'!$B$7</f>
        <v>Primes RW</v>
      </c>
      <c r="J42" s="134">
        <f>'ADU-10'!$B$18</f>
        <v>75000</v>
      </c>
      <c r="K42" s="134">
        <f>'ADU-10'!$B$21</f>
        <v>38669.447430593456</v>
      </c>
      <c r="L42" s="134">
        <f>'ADU-10'!$B$22</f>
        <v>0</v>
      </c>
      <c r="M42" s="135">
        <f>'ADU-10'!$B$24</f>
        <v>39.954023205867387</v>
      </c>
      <c r="N42" s="135">
        <f>'ADU-10'!$B$19/1000</f>
        <v>449.6447375650402</v>
      </c>
      <c r="O42" s="136"/>
      <c r="P42" s="137" t="str">
        <f>'ADU-10'!$B$5</f>
        <v>A faire</v>
      </c>
      <c r="Q42" s="140">
        <f>'ADU-10'!$B$16</f>
        <v>2030</v>
      </c>
      <c r="R42" s="283" t="str">
        <f t="shared" si="45"/>
        <v/>
      </c>
      <c r="S42" s="138">
        <f t="shared" si="9"/>
        <v>0</v>
      </c>
      <c r="T42" s="138">
        <f t="shared" si="10"/>
        <v>0</v>
      </c>
      <c r="U42" s="138">
        <f t="shared" si="11"/>
        <v>0</v>
      </c>
      <c r="V42" s="138">
        <f t="shared" si="12"/>
        <v>0</v>
      </c>
      <c r="W42" s="138">
        <f t="shared" si="13"/>
        <v>0</v>
      </c>
      <c r="X42" s="138">
        <f t="shared" si="14"/>
        <v>0</v>
      </c>
      <c r="Y42" s="138">
        <f t="shared" si="15"/>
        <v>0</v>
      </c>
      <c r="AA42" s="287">
        <f>IF(('Synthèse PER'!P42="A faire")*AND('Synthèse PER'!F42="Agriculture"),'Synthèse PER'!H42,0)</f>
        <v>0</v>
      </c>
      <c r="AB42" s="287">
        <f>IF(('Synthèse PER'!P42="A faire")*AND('Synthèse PER'!F42="Industrie"),'Synthèse PER'!H42,0)</f>
        <v>0</v>
      </c>
      <c r="AC42" s="287">
        <f>IF(('Synthèse PER'!P42="A faire")*AND('Synthèse PER'!F42="Citoyen"),'Synthèse PER'!H42,0)</f>
        <v>1620000</v>
      </c>
      <c r="AD42" s="287">
        <f>IF(('Synthèse PER'!P42="A faire")*AND('Synthèse PER'!F42="IDELUX"),'Synthèse PER'!H42,0)</f>
        <v>0</v>
      </c>
      <c r="AE42" s="290">
        <f>IF(('Synthèse PER'!P42="A faire")*AND('Synthèse PER'!F42="AC MESSANCY"),'Synthèse PER'!H42,0)</f>
        <v>0</v>
      </c>
      <c r="AF42" s="287">
        <f>IF(('Synthèse PER'!P42="A faire")*AND('Synthèse PER'!F42="Tertiaire"),'Synthèse PER'!H42,0)</f>
        <v>0</v>
      </c>
      <c r="AG42" s="288"/>
      <c r="AH42" s="290">
        <f>IF(('Synthèse PER'!P42="A faire")*AND('Synthèse PER'!F42="Agriculture"),'Synthèse PER'!J42,0)</f>
        <v>0</v>
      </c>
      <c r="AI42" s="290">
        <f>IF(('Synthèse PER'!P42="A faire")*AND('Synthèse PER'!F42="Industrie"),'Synthèse PER'!J42,0)</f>
        <v>0</v>
      </c>
      <c r="AJ42" s="290">
        <f>IF(('Synthèse PER'!P42="A faire")*AND('Synthèse PER'!F42="Citoyen"),'Synthèse PER'!J42,0)</f>
        <v>75000</v>
      </c>
      <c r="AK42" s="290">
        <f>IF(('Synthèse PER'!P42="A faire")*AND('Synthèse PER'!F42="IDELUX"),'Synthèse PER'!J42,0)</f>
        <v>0</v>
      </c>
      <c r="AL42" s="290">
        <f>IF(('Synthèse PER'!P42="A faire")*AND('Synthèse PER'!F42="AC MESSANCY"),'Synthèse PER'!J42,0)</f>
        <v>0</v>
      </c>
      <c r="AM42" s="290">
        <f>IF(('Synthèse PER'!P42="A faire")*AND('Synthèse PER'!F42="Tertiaire"),'Synthèse PER'!J42,0)</f>
        <v>0</v>
      </c>
      <c r="AN42" s="288"/>
      <c r="AO42" s="290">
        <f>IF(('Synthèse PER'!P42="A faire")*AND('Synthèse PER'!E42="Territoire"),'Synthèse PER'!H42,0)</f>
        <v>0</v>
      </c>
      <c r="AP42" s="290">
        <f>IF(('Synthèse PER'!P42="A faire")*AND('Synthèse PER'!E42="Agriculture"),'Synthèse PER'!H42,0)</f>
        <v>0</v>
      </c>
      <c r="AQ42" s="290">
        <f>IF(('Synthèse PER'!P42="A faire")*AND('Synthèse PER'!E42="Industrie"),'Synthèse PER'!H42,0)</f>
        <v>0</v>
      </c>
      <c r="AR42" s="290">
        <f>IF(('Synthèse PER'!P42="A faire")*AND('Synthèse PER'!E42="Logement"),'Synthèse PER'!H42,0)</f>
        <v>1620000</v>
      </c>
      <c r="AS42" s="290">
        <f>IF(('Synthèse PER'!P42="A faire")*AND('Synthèse PER'!E42="Tertiaire"),'Synthèse PER'!H42,0)</f>
        <v>0</v>
      </c>
      <c r="AT42" s="290">
        <f>IF(('Synthèse PER'!P42="A faire")*AND('Synthèse PER'!E42="Transport"),'Synthèse PER'!H42,0)</f>
        <v>0</v>
      </c>
      <c r="AU42" s="290">
        <f>IF(('Synthèse PER'!P42="A faire")*AND('Synthèse PER'!E42="Communal"),'Synthèse PER'!H42,0)</f>
        <v>0</v>
      </c>
      <c r="AV42" s="288"/>
      <c r="AW42" s="290">
        <f>IF(('Synthèse PER'!P42="A faire")*AND('Synthèse PER'!E42="Territoire"),'Synthèse PER'!J42,0)</f>
        <v>0</v>
      </c>
      <c r="AX42" s="290">
        <f>IF(('Synthèse PER'!P42="A faire")*AND('Synthèse PER'!E42="Agriculture"),'Synthèse PER'!J42,0)</f>
        <v>0</v>
      </c>
      <c r="AY42" s="290">
        <f>IF(('Synthèse PER'!P42="A faire")*AND('Synthèse PER'!E42="Industrie"),'Synthèse PER'!J42,0)</f>
        <v>0</v>
      </c>
      <c r="AZ42" s="290">
        <f>IF(('Synthèse PER'!P42="A faire")*AND('Synthèse PER'!E42="Logement"),'Synthèse PER'!J42,0)</f>
        <v>75000</v>
      </c>
      <c r="BA42" s="290">
        <f>IF(('Synthèse PER'!P42="A faire")*AND('Synthèse PER'!E42="Tertiaire"),'Synthèse PER'!J42,0)</f>
        <v>0</v>
      </c>
      <c r="BB42" s="290">
        <f>IF(('Synthèse PER'!P42="A faire")*AND('Synthèse PER'!E42="Transport"),'Synthèse PER'!J42,0)</f>
        <v>0</v>
      </c>
      <c r="BC42" s="290">
        <f>IF(('Synthèse PER'!P42="A faire")*AND('Synthèse PER'!E42="Communal"),'Synthèse PER'!J42,0)</f>
        <v>0</v>
      </c>
      <c r="BD42" s="288"/>
      <c r="BE42" s="290">
        <f>IF(('Synthèse PER'!P42="A faire")*AND('Synthèse PER'!E42="Territoire"),'Synthèse PER'!K42,0)</f>
        <v>0</v>
      </c>
      <c r="BF42" s="290">
        <f>IF(('Synthèse PER'!P42="A faire")*AND('Synthèse PER'!E42="Agriculture"),'Synthèse PER'!K42,0)</f>
        <v>0</v>
      </c>
      <c r="BG42" s="290">
        <f>IF(('Synthèse PER'!P42="A faire")*AND('Synthèse PER'!E42="Industrie"),'Synthèse PER'!K42,0)</f>
        <v>0</v>
      </c>
      <c r="BH42" s="290">
        <f>IF(('Synthèse PER'!P42="A faire")*AND('Synthèse PER'!E42="Logement"),'Synthèse PER'!K42,0)</f>
        <v>38669.447430593456</v>
      </c>
      <c r="BI42" s="290">
        <f>IF(('Synthèse PER'!P42="A faire")*AND('Synthèse PER'!E42="Tertiaire"),'Synthèse PER'!K42,0)</f>
        <v>0</v>
      </c>
      <c r="BJ42" s="290">
        <f>IF(('Synthèse PER'!P42="A faire")*AND('Synthèse PER'!E42="Transport"),'Synthèse PER'!K42,0)</f>
        <v>0</v>
      </c>
      <c r="BK42" s="290">
        <f>IF(('Synthèse PER'!P42="A faire")*AND('Synthèse PER'!E42="Communal"),'Synthèse PER'!K42,0)</f>
        <v>0</v>
      </c>
      <c r="BL42" s="288"/>
      <c r="BM42" s="290">
        <f>IF(('Synthèse PER'!P42="A faire")*AND('Synthèse PER'!E42="Territoire"),'Synthèse PER'!L42,0)</f>
        <v>0</v>
      </c>
      <c r="BN42" s="290">
        <f>IF(('Synthèse PER'!P42="A faire")*AND('Synthèse PER'!E42="Agriculture"),'Synthèse PER'!L42,0)</f>
        <v>0</v>
      </c>
      <c r="BO42" s="290">
        <f>IF(('Synthèse PER'!P42="A faire")*AND('Synthèse PER'!E42="Industrie"),'Synthèse PER'!L42,0)</f>
        <v>0</v>
      </c>
      <c r="BP42" s="290">
        <f>IF(('Synthèse PER'!P42="A faire")*AND('Synthèse PER'!E42="Logement"),'Synthèse PER'!L42,0)</f>
        <v>0</v>
      </c>
      <c r="BQ42" s="290">
        <f>IF(('Synthèse PER'!P42="A faire")*AND('Synthèse PER'!E42="Tertiaire"),'Synthèse PER'!L42,0)</f>
        <v>0</v>
      </c>
      <c r="BR42" s="290">
        <f>IF(('Synthèse PER'!P42="A faire")*AND('Synthèse PER'!E42="Transport"),'Synthèse PER'!L42,0)</f>
        <v>0</v>
      </c>
      <c r="BS42" s="290">
        <f>IF(('Synthèse PER'!P42="A faire")*AND('Synthèse PER'!E42="Communal"),'Synthèse PER'!L42,0)</f>
        <v>0</v>
      </c>
      <c r="BT42" s="290">
        <f>IF(('Synthèse PER'!Q42="A faire")*AND('Synthèse PER'!F42="Communal"),'Synthèse PER'!M42,0)</f>
        <v>0</v>
      </c>
    </row>
    <row r="43" spans="1:73" x14ac:dyDescent="0.25">
      <c r="A43" s="369" t="s">
        <v>485</v>
      </c>
      <c r="B43" s="414" t="str">
        <f>'ADU-11'!B$3:E$3</f>
        <v>Performance énergétique</v>
      </c>
      <c r="C43" s="419" t="str">
        <f>'ADU-11'!$B$8</f>
        <v xml:space="preserve">Logements </v>
      </c>
      <c r="D43" s="133" t="str">
        <f>'ADU-11'!$B$9</f>
        <v>Luminaires économiques</v>
      </c>
      <c r="E43" s="133" t="str">
        <f>'ADU-11'!$B$4</f>
        <v>Logement</v>
      </c>
      <c r="F43" s="133" t="str">
        <f>'ADU-11'!$B$12</f>
        <v>Citoyen</v>
      </c>
      <c r="G43" s="133" t="str">
        <f>'ADU-11'!$B$6</f>
        <v>Fonds propres</v>
      </c>
      <c r="H43" s="134">
        <f>'ADU-11'!$B$17</f>
        <v>35000</v>
      </c>
      <c r="I43" s="133" t="str">
        <f>'ADU-11'!$B$7</f>
        <v>Néant</v>
      </c>
      <c r="J43" s="134">
        <f>'ADU-11'!$B$18</f>
        <v>0</v>
      </c>
      <c r="K43" s="134">
        <f>'ADU-11'!$B$21</f>
        <v>13140</v>
      </c>
      <c r="L43" s="134">
        <f>'ADU-11'!$B$22</f>
        <v>0</v>
      </c>
      <c r="M43" s="135">
        <f>'ADU-11'!$B$24</f>
        <v>2.6636225266362255</v>
      </c>
      <c r="N43" s="135">
        <f>'ADU-11'!$B$19/1000</f>
        <v>65.7</v>
      </c>
      <c r="O43" s="136"/>
      <c r="P43" s="137" t="str">
        <f>'ADU-11'!$B$5</f>
        <v>A faire</v>
      </c>
      <c r="Q43" s="140">
        <f>'ADU-11'!$B$16</f>
        <v>2030</v>
      </c>
      <c r="R43" s="283" t="str">
        <f t="shared" ref="R43:R52" si="46">IF(P43="terminé", N43,"")</f>
        <v/>
      </c>
      <c r="S43" s="138">
        <f t="shared" si="9"/>
        <v>0</v>
      </c>
      <c r="T43" s="138">
        <f t="shared" si="10"/>
        <v>0</v>
      </c>
      <c r="U43" s="138">
        <f t="shared" si="11"/>
        <v>0</v>
      </c>
      <c r="V43" s="138">
        <f t="shared" si="12"/>
        <v>0</v>
      </c>
      <c r="W43" s="138">
        <f t="shared" si="13"/>
        <v>0</v>
      </c>
      <c r="X43" s="138">
        <f t="shared" si="14"/>
        <v>0</v>
      </c>
      <c r="Y43" s="138">
        <f t="shared" si="15"/>
        <v>0</v>
      </c>
      <c r="Z43" s="139"/>
      <c r="AA43" s="287">
        <f>IF(('Synthèse PER'!P43="A faire")*AND('Synthèse PER'!F43="Agriculture"),'Synthèse PER'!H43,0)</f>
        <v>0</v>
      </c>
      <c r="AB43" s="287">
        <f>IF(('Synthèse PER'!P43="A faire")*AND('Synthèse PER'!F43="Industrie"),'Synthèse PER'!H43,0)</f>
        <v>0</v>
      </c>
      <c r="AC43" s="287">
        <f>IF(('Synthèse PER'!P43="A faire")*AND('Synthèse PER'!F43="Citoyen"),'Synthèse PER'!H43,0)</f>
        <v>35000</v>
      </c>
      <c r="AD43" s="287">
        <f>IF(('Synthèse PER'!P43="A faire")*AND('Synthèse PER'!F43="IDELUX"),'Synthèse PER'!H43,0)</f>
        <v>0</v>
      </c>
      <c r="AE43" s="290">
        <f>IF(('Synthèse PER'!P43="A faire")*AND('Synthèse PER'!F43="AC MESSANCY"),'Synthèse PER'!H43,0)</f>
        <v>0</v>
      </c>
      <c r="AF43" s="287">
        <f>IF(('Synthèse PER'!P43="A faire")*AND('Synthèse PER'!F43="Tertiaire"),'Synthèse PER'!H43,0)</f>
        <v>0</v>
      </c>
      <c r="AG43" s="288"/>
      <c r="AH43" s="290">
        <f>IF(('Synthèse PER'!P43="A faire")*AND('Synthèse PER'!F43="Agriculture"),'Synthèse PER'!J43,0)</f>
        <v>0</v>
      </c>
      <c r="AI43" s="290">
        <f>IF(('Synthèse PER'!P43="A faire")*AND('Synthèse PER'!F43="Industrie"),'Synthèse PER'!J43,0)</f>
        <v>0</v>
      </c>
      <c r="AJ43" s="290">
        <f>IF(('Synthèse PER'!P43="A faire")*AND('Synthèse PER'!F43="Citoyen"),'Synthèse PER'!J43,0)</f>
        <v>0</v>
      </c>
      <c r="AK43" s="290">
        <f>IF(('Synthèse PER'!P43="A faire")*AND('Synthèse PER'!F43="IDELUX"),'Synthèse PER'!J43,0)</f>
        <v>0</v>
      </c>
      <c r="AL43" s="290">
        <f>IF(('Synthèse PER'!P43="A faire")*AND('Synthèse PER'!F43="AC MESSANCY"),'Synthèse PER'!J43,0)</f>
        <v>0</v>
      </c>
      <c r="AM43" s="290">
        <f>IF(('Synthèse PER'!P43="A faire")*AND('Synthèse PER'!F43="Tertiaire"),'Synthèse PER'!J43,0)</f>
        <v>0</v>
      </c>
      <c r="AN43" s="288"/>
      <c r="AO43" s="290">
        <f>IF(('Synthèse PER'!P43="A faire")*AND('Synthèse PER'!E43="Territoire"),'Synthèse PER'!H43,0)</f>
        <v>0</v>
      </c>
      <c r="AP43" s="290">
        <f>IF(('Synthèse PER'!P43="A faire")*AND('Synthèse PER'!E43="Agriculture"),'Synthèse PER'!H43,0)</f>
        <v>0</v>
      </c>
      <c r="AQ43" s="290">
        <f>IF(('Synthèse PER'!P43="A faire")*AND('Synthèse PER'!E43="Industrie"),'Synthèse PER'!H43,0)</f>
        <v>0</v>
      </c>
      <c r="AR43" s="290">
        <f>IF(('Synthèse PER'!P43="A faire")*AND('Synthèse PER'!E43="Logement"),'Synthèse PER'!H43,0)</f>
        <v>35000</v>
      </c>
      <c r="AS43" s="290">
        <f>IF(('Synthèse PER'!P43="A faire")*AND('Synthèse PER'!E43="Tertiaire"),'Synthèse PER'!H43,0)</f>
        <v>0</v>
      </c>
      <c r="AT43" s="290">
        <f>IF(('Synthèse PER'!P43="A faire")*AND('Synthèse PER'!E43="Transport"),'Synthèse PER'!H43,0)</f>
        <v>0</v>
      </c>
      <c r="AU43" s="290">
        <f>IF(('Synthèse PER'!P43="A faire")*AND('Synthèse PER'!E43="Communal"),'Synthèse PER'!H43,0)</f>
        <v>0</v>
      </c>
      <c r="AV43" s="288"/>
      <c r="AW43" s="290">
        <f>IF(('Synthèse PER'!P43="A faire")*AND('Synthèse PER'!E43="Territoire"),'Synthèse PER'!J43,0)</f>
        <v>0</v>
      </c>
      <c r="AX43" s="290">
        <f>IF(('Synthèse PER'!P43="A faire")*AND('Synthèse PER'!E43="Agriculture"),'Synthèse PER'!J43,0)</f>
        <v>0</v>
      </c>
      <c r="AY43" s="290">
        <f>IF(('Synthèse PER'!P43="A faire")*AND('Synthèse PER'!E43="Industrie"),'Synthèse PER'!J43,0)</f>
        <v>0</v>
      </c>
      <c r="AZ43" s="290">
        <f>IF(('Synthèse PER'!P43="A faire")*AND('Synthèse PER'!E43="Logement"),'Synthèse PER'!J43,0)</f>
        <v>0</v>
      </c>
      <c r="BA43" s="290">
        <f>IF(('Synthèse PER'!P43="A faire")*AND('Synthèse PER'!E43="Tertiaire"),'Synthèse PER'!J43,0)</f>
        <v>0</v>
      </c>
      <c r="BB43" s="290">
        <f>IF(('Synthèse PER'!P43="A faire")*AND('Synthèse PER'!E43="Transport"),'Synthèse PER'!J43,0)</f>
        <v>0</v>
      </c>
      <c r="BC43" s="290">
        <f>IF(('Synthèse PER'!P43="A faire")*AND('Synthèse PER'!E43="Communal"),'Synthèse PER'!J43,0)</f>
        <v>0</v>
      </c>
      <c r="BD43" s="288"/>
      <c r="BE43" s="290">
        <f>IF(('Synthèse PER'!P43="A faire")*AND('Synthèse PER'!E43="Territoire"),'Synthèse PER'!K43,0)</f>
        <v>0</v>
      </c>
      <c r="BF43" s="290">
        <f>IF(('Synthèse PER'!P43="A faire")*AND('Synthèse PER'!E43="Agriculture"),'Synthèse PER'!K43,0)</f>
        <v>0</v>
      </c>
      <c r="BG43" s="290">
        <f>IF(('Synthèse PER'!P43="A faire")*AND('Synthèse PER'!E43="Industrie"),'Synthèse PER'!K43,0)</f>
        <v>0</v>
      </c>
      <c r="BH43" s="290">
        <f>IF(('Synthèse PER'!P43="A faire")*AND('Synthèse PER'!E43="Logement"),'Synthèse PER'!K43,0)</f>
        <v>13140</v>
      </c>
      <c r="BI43" s="290">
        <f>IF(('Synthèse PER'!P43="A faire")*AND('Synthèse PER'!E43="Tertiaire"),'Synthèse PER'!K43,0)</f>
        <v>0</v>
      </c>
      <c r="BJ43" s="290">
        <f>IF(('Synthèse PER'!P43="A faire")*AND('Synthèse PER'!E43="Transport"),'Synthèse PER'!K43,0)</f>
        <v>0</v>
      </c>
      <c r="BK43" s="290">
        <f>IF(('Synthèse PER'!P43="A faire")*AND('Synthèse PER'!E43="Communal"),'Synthèse PER'!K43,0)</f>
        <v>0</v>
      </c>
      <c r="BL43" s="288"/>
      <c r="BM43" s="290">
        <f>IF(('Synthèse PER'!P43="A faire")*AND('Synthèse PER'!E43="Territoire"),'Synthèse PER'!L43,0)</f>
        <v>0</v>
      </c>
      <c r="BN43" s="290">
        <f>IF(('Synthèse PER'!P43="A faire")*AND('Synthèse PER'!E43="Agriculture"),'Synthèse PER'!L43,0)</f>
        <v>0</v>
      </c>
      <c r="BO43" s="290">
        <f>IF(('Synthèse PER'!P43="A faire")*AND('Synthèse PER'!E43="Industrie"),'Synthèse PER'!L43,0)</f>
        <v>0</v>
      </c>
      <c r="BP43" s="290">
        <f>IF(('Synthèse PER'!P43="A faire")*AND('Synthèse PER'!E43="Logement"),'Synthèse PER'!L43,0)</f>
        <v>0</v>
      </c>
      <c r="BQ43" s="290">
        <f>IF(('Synthèse PER'!P43="A faire")*AND('Synthèse PER'!E43="Tertiaire"),'Synthèse PER'!L43,0)</f>
        <v>0</v>
      </c>
      <c r="BR43" s="290">
        <f>IF(('Synthèse PER'!P43="A faire")*AND('Synthèse PER'!E43="Transport"),'Synthèse PER'!L43,0)</f>
        <v>0</v>
      </c>
      <c r="BS43" s="290">
        <f>IF(('Synthèse PER'!P43="A faire")*AND('Synthèse PER'!E43="Communal"),'Synthèse PER'!L43,0)</f>
        <v>0</v>
      </c>
      <c r="BT43" s="290">
        <f>IF(('Synthèse PER'!Q43="A faire")*AND('Synthèse PER'!F43="Communal"),'Synthèse PER'!M43,0)</f>
        <v>0</v>
      </c>
      <c r="BU43" s="139"/>
    </row>
    <row r="44" spans="1:73" s="139" customFormat="1" x14ac:dyDescent="0.25">
      <c r="A44" s="369" t="s">
        <v>82</v>
      </c>
      <c r="B44" s="414" t="str">
        <f>'ADU-12'!B$3:E$3</f>
        <v>Performance énergétique</v>
      </c>
      <c r="C44" s="419" t="str">
        <f>'ADU-12'!$B$8</f>
        <v xml:space="preserve">Logements </v>
      </c>
      <c r="D44" s="133" t="str">
        <f>'ADU-12'!$B$9</f>
        <v>Electroménager ECO</v>
      </c>
      <c r="E44" s="133" t="str">
        <f>'ADU-12'!$B$4</f>
        <v>Logement</v>
      </c>
      <c r="F44" s="133" t="str">
        <f>'ADU-12'!$B$12</f>
        <v>Citoyen</v>
      </c>
      <c r="G44" s="133" t="str">
        <f>'ADU-12'!$B$6</f>
        <v>Fonds propres</v>
      </c>
      <c r="H44" s="134">
        <f>'ADU-12'!$B$17</f>
        <v>1350000</v>
      </c>
      <c r="I44" s="133" t="str">
        <f>'ADU-12'!$B$7</f>
        <v>Néant</v>
      </c>
      <c r="J44" s="134">
        <f>'ADU-12'!$B$18</f>
        <v>0</v>
      </c>
      <c r="K44" s="134">
        <f>'ADU-12'!$B$21</f>
        <v>225000</v>
      </c>
      <c r="L44" s="134">
        <f>'ADU-12'!$B$22</f>
        <v>0</v>
      </c>
      <c r="M44" s="135">
        <f>'ADU-12'!$B$24</f>
        <v>6</v>
      </c>
      <c r="N44" s="135">
        <f>'ADU-12'!$B$19/1000</f>
        <v>900</v>
      </c>
      <c r="O44" s="136"/>
      <c r="P44" s="137" t="str">
        <f>'ADU-12'!$B$5</f>
        <v>A faire</v>
      </c>
      <c r="Q44" s="140">
        <f>'ADU-12'!$B$16</f>
        <v>2030</v>
      </c>
      <c r="R44" s="283" t="str">
        <f t="shared" si="46"/>
        <v/>
      </c>
      <c r="S44" s="138">
        <f t="shared" si="9"/>
        <v>0</v>
      </c>
      <c r="T44" s="138">
        <f t="shared" si="10"/>
        <v>0</v>
      </c>
      <c r="U44" s="138">
        <f t="shared" si="11"/>
        <v>0</v>
      </c>
      <c r="V44" s="138">
        <f t="shared" si="12"/>
        <v>0</v>
      </c>
      <c r="W44" s="138">
        <f t="shared" si="13"/>
        <v>0</v>
      </c>
      <c r="X44" s="138">
        <f t="shared" si="14"/>
        <v>0</v>
      </c>
      <c r="Y44" s="138">
        <f t="shared" si="15"/>
        <v>0</v>
      </c>
      <c r="AA44" s="287">
        <f>IF(('Synthèse PER'!P44="A faire")*AND('Synthèse PER'!F44="Agriculture"),'Synthèse PER'!H44,0)</f>
        <v>0</v>
      </c>
      <c r="AB44" s="287">
        <f>IF(('Synthèse PER'!P44="A faire")*AND('Synthèse PER'!F44="Industrie"),'Synthèse PER'!H44,0)</f>
        <v>0</v>
      </c>
      <c r="AC44" s="287">
        <f>IF(('Synthèse PER'!P44="A faire")*AND('Synthèse PER'!F44="Citoyen"),'Synthèse PER'!H44,0)</f>
        <v>1350000</v>
      </c>
      <c r="AD44" s="287">
        <f>IF(('Synthèse PER'!P44="A faire")*AND('Synthèse PER'!F44="IDELUX"),'Synthèse PER'!H44,0)</f>
        <v>0</v>
      </c>
      <c r="AE44" s="290">
        <f>IF(('Synthèse PER'!P44="A faire")*AND('Synthèse PER'!F44="AC MESSANCY"),'Synthèse PER'!H44,0)</f>
        <v>0</v>
      </c>
      <c r="AF44" s="287">
        <f>IF(('Synthèse PER'!P44="A faire")*AND('Synthèse PER'!F44="Tertiaire"),'Synthèse PER'!H44,0)</f>
        <v>0</v>
      </c>
      <c r="AG44" s="288"/>
      <c r="AH44" s="290">
        <f>IF(('Synthèse PER'!P44="A faire")*AND('Synthèse PER'!F44="Agriculture"),'Synthèse PER'!J44,0)</f>
        <v>0</v>
      </c>
      <c r="AI44" s="290">
        <f>IF(('Synthèse PER'!P44="A faire")*AND('Synthèse PER'!F44="Industrie"),'Synthèse PER'!J44,0)</f>
        <v>0</v>
      </c>
      <c r="AJ44" s="290">
        <f>IF(('Synthèse PER'!P44="A faire")*AND('Synthèse PER'!F44="Citoyen"),'Synthèse PER'!J44,0)</f>
        <v>0</v>
      </c>
      <c r="AK44" s="290">
        <f>IF(('Synthèse PER'!P44="A faire")*AND('Synthèse PER'!F44="IDELUX"),'Synthèse PER'!J44,0)</f>
        <v>0</v>
      </c>
      <c r="AL44" s="290">
        <f>IF(('Synthèse PER'!P44="A faire")*AND('Synthèse PER'!F44="AC MESSANCY"),'Synthèse PER'!J44,0)</f>
        <v>0</v>
      </c>
      <c r="AM44" s="290">
        <f>IF(('Synthèse PER'!P44="A faire")*AND('Synthèse PER'!F44="Tertiaire"),'Synthèse PER'!J44,0)</f>
        <v>0</v>
      </c>
      <c r="AN44" s="288"/>
      <c r="AO44" s="290">
        <f>IF(('Synthèse PER'!P44="A faire")*AND('Synthèse PER'!E44="Territoire"),'Synthèse PER'!H44,0)</f>
        <v>0</v>
      </c>
      <c r="AP44" s="290">
        <f>IF(('Synthèse PER'!P44="A faire")*AND('Synthèse PER'!E44="Agriculture"),'Synthèse PER'!H44,0)</f>
        <v>0</v>
      </c>
      <c r="AQ44" s="290">
        <f>IF(('Synthèse PER'!P44="A faire")*AND('Synthèse PER'!E44="Industrie"),'Synthèse PER'!H44,0)</f>
        <v>0</v>
      </c>
      <c r="AR44" s="290">
        <f>IF(('Synthèse PER'!P44="A faire")*AND('Synthèse PER'!E44="Logement"),'Synthèse PER'!H44,0)</f>
        <v>1350000</v>
      </c>
      <c r="AS44" s="290">
        <f>IF(('Synthèse PER'!P44="A faire")*AND('Synthèse PER'!E44="Tertiaire"),'Synthèse PER'!H44,0)</f>
        <v>0</v>
      </c>
      <c r="AT44" s="290">
        <f>IF(('Synthèse PER'!P44="A faire")*AND('Synthèse PER'!E44="Transport"),'Synthèse PER'!H44,0)</f>
        <v>0</v>
      </c>
      <c r="AU44" s="290">
        <f>IF(('Synthèse PER'!P44="A faire")*AND('Synthèse PER'!E44="Communal"),'Synthèse PER'!H44,0)</f>
        <v>0</v>
      </c>
      <c r="AV44" s="288"/>
      <c r="AW44" s="290">
        <f>IF(('Synthèse PER'!P44="A faire")*AND('Synthèse PER'!E44="Territoire"),'Synthèse PER'!J44,0)</f>
        <v>0</v>
      </c>
      <c r="AX44" s="290">
        <f>IF(('Synthèse PER'!P44="A faire")*AND('Synthèse PER'!E44="Agriculture"),'Synthèse PER'!J44,0)</f>
        <v>0</v>
      </c>
      <c r="AY44" s="290">
        <f>IF(('Synthèse PER'!P44="A faire")*AND('Synthèse PER'!E44="Industrie"),'Synthèse PER'!J44,0)</f>
        <v>0</v>
      </c>
      <c r="AZ44" s="290">
        <f>IF(('Synthèse PER'!P44="A faire")*AND('Synthèse PER'!E44="Logement"),'Synthèse PER'!J44,0)</f>
        <v>0</v>
      </c>
      <c r="BA44" s="290">
        <f>IF(('Synthèse PER'!P44="A faire")*AND('Synthèse PER'!E44="Tertiaire"),'Synthèse PER'!J44,0)</f>
        <v>0</v>
      </c>
      <c r="BB44" s="290">
        <f>IF(('Synthèse PER'!P44="A faire")*AND('Synthèse PER'!E44="Transport"),'Synthèse PER'!J44,0)</f>
        <v>0</v>
      </c>
      <c r="BC44" s="290">
        <f>IF(('Synthèse PER'!P44="A faire")*AND('Synthèse PER'!E44="Communal"),'Synthèse PER'!J44,0)</f>
        <v>0</v>
      </c>
      <c r="BD44" s="288"/>
      <c r="BE44" s="290">
        <f>IF(('Synthèse PER'!P44="A faire")*AND('Synthèse PER'!E44="Territoire"),'Synthèse PER'!K44,0)</f>
        <v>0</v>
      </c>
      <c r="BF44" s="290">
        <f>IF(('Synthèse PER'!P44="A faire")*AND('Synthèse PER'!E44="Agriculture"),'Synthèse PER'!K44,0)</f>
        <v>0</v>
      </c>
      <c r="BG44" s="290">
        <f>IF(('Synthèse PER'!P44="A faire")*AND('Synthèse PER'!E44="Industrie"),'Synthèse PER'!K44,0)</f>
        <v>0</v>
      </c>
      <c r="BH44" s="290">
        <f>IF(('Synthèse PER'!P44="A faire")*AND('Synthèse PER'!E44="Logement"),'Synthèse PER'!K44,0)</f>
        <v>225000</v>
      </c>
      <c r="BI44" s="290">
        <f>IF(('Synthèse PER'!P44="A faire")*AND('Synthèse PER'!E44="Tertiaire"),'Synthèse PER'!K44,0)</f>
        <v>0</v>
      </c>
      <c r="BJ44" s="290">
        <f>IF(('Synthèse PER'!P44="A faire")*AND('Synthèse PER'!E44="Transport"),'Synthèse PER'!K44,0)</f>
        <v>0</v>
      </c>
      <c r="BK44" s="290">
        <f>IF(('Synthèse PER'!P44="A faire")*AND('Synthèse PER'!E44="Communal"),'Synthèse PER'!K44,0)</f>
        <v>0</v>
      </c>
      <c r="BL44" s="288"/>
      <c r="BM44" s="290">
        <f>IF(('Synthèse PER'!P44="A faire")*AND('Synthèse PER'!E44="Territoire"),'Synthèse PER'!L44,0)</f>
        <v>0</v>
      </c>
      <c r="BN44" s="290">
        <f>IF(('Synthèse PER'!P44="A faire")*AND('Synthèse PER'!E44="Agriculture"),'Synthèse PER'!L44,0)</f>
        <v>0</v>
      </c>
      <c r="BO44" s="290">
        <f>IF(('Synthèse PER'!P44="A faire")*AND('Synthèse PER'!E44="Industrie"),'Synthèse PER'!L44,0)</f>
        <v>0</v>
      </c>
      <c r="BP44" s="290">
        <f>IF(('Synthèse PER'!P44="A faire")*AND('Synthèse PER'!E44="Logement"),'Synthèse PER'!L44,0)</f>
        <v>0</v>
      </c>
      <c r="BQ44" s="290">
        <f>IF(('Synthèse PER'!P44="A faire")*AND('Synthèse PER'!E44="Tertiaire"),'Synthèse PER'!L44,0)</f>
        <v>0</v>
      </c>
      <c r="BR44" s="290">
        <f>IF(('Synthèse PER'!P44="A faire")*AND('Synthèse PER'!E44="Transport"),'Synthèse PER'!L44,0)</f>
        <v>0</v>
      </c>
      <c r="BS44" s="290">
        <f>IF(('Synthèse PER'!P44="A faire")*AND('Synthèse PER'!E44="Communal"),'Synthèse PER'!L44,0)</f>
        <v>0</v>
      </c>
      <c r="BT44" s="290">
        <f>IF(('Synthèse PER'!Q44="A faire")*AND('Synthèse PER'!F44="Communal"),'Synthèse PER'!M44,0)</f>
        <v>0</v>
      </c>
    </row>
    <row r="45" spans="1:73" s="139" customFormat="1" x14ac:dyDescent="0.25">
      <c r="A45" s="369" t="s">
        <v>84</v>
      </c>
      <c r="B45" s="414" t="str">
        <f>'ADU-13'!B$3:E$3</f>
        <v>Performance énergétique</v>
      </c>
      <c r="C45" s="419" t="str">
        <f>'ADU-13'!$B$8</f>
        <v xml:space="preserve">Logements </v>
      </c>
      <c r="D45" s="133" t="str">
        <f>'ADU-13'!$B$9</f>
        <v>Chaudières à condensation</v>
      </c>
      <c r="E45" s="133" t="str">
        <f>'ADU-13'!$B$4</f>
        <v>Logement</v>
      </c>
      <c r="F45" s="133" t="str">
        <f>'ADU-13'!$B$12</f>
        <v>Citoyen</v>
      </c>
      <c r="G45" s="133" t="str">
        <f>'ADU-13'!$B$6</f>
        <v>Fonds propres</v>
      </c>
      <c r="H45" s="134">
        <f>'ADU-13'!$B$17</f>
        <v>1000000</v>
      </c>
      <c r="I45" s="133" t="str">
        <f>'ADU-13'!$B$7</f>
        <v>Néant</v>
      </c>
      <c r="J45" s="134">
        <f>'ADU-13'!$B$18</f>
        <v>0</v>
      </c>
      <c r="K45" s="134">
        <f>'ADU-13'!$B$21</f>
        <v>20983.42108636854</v>
      </c>
      <c r="L45" s="134">
        <f>'ADU-13'!$B$22</f>
        <v>0</v>
      </c>
      <c r="M45" s="135">
        <f>'ADU-13'!$B$24</f>
        <v>47.656671230299523</v>
      </c>
      <c r="N45" s="135">
        <f>'ADU-13'!$B$19/1000</f>
        <v>299.76315837669341</v>
      </c>
      <c r="O45" s="136"/>
      <c r="P45" s="137" t="str">
        <f>'ADU-13'!$B$5</f>
        <v>A faire</v>
      </c>
      <c r="Q45" s="140">
        <f>'ADU-13'!$B$16</f>
        <v>2030</v>
      </c>
      <c r="R45" s="283" t="str">
        <f t="shared" si="46"/>
        <v/>
      </c>
      <c r="S45" s="138">
        <f t="shared" si="9"/>
        <v>0</v>
      </c>
      <c r="T45" s="138">
        <f t="shared" si="10"/>
        <v>0</v>
      </c>
      <c r="U45" s="138">
        <f t="shared" si="11"/>
        <v>0</v>
      </c>
      <c r="V45" s="138">
        <f t="shared" si="12"/>
        <v>0</v>
      </c>
      <c r="W45" s="138">
        <f t="shared" si="13"/>
        <v>0</v>
      </c>
      <c r="X45" s="138">
        <f t="shared" si="14"/>
        <v>0</v>
      </c>
      <c r="Y45" s="138">
        <f t="shared" si="15"/>
        <v>0</v>
      </c>
      <c r="AA45" s="287">
        <f>IF(('Synthèse PER'!P45="A faire")*AND('Synthèse PER'!F45="Agriculture"),'Synthèse PER'!H45,0)</f>
        <v>0</v>
      </c>
      <c r="AB45" s="287">
        <f>IF(('Synthèse PER'!P45="A faire")*AND('Synthèse PER'!F45="Industrie"),'Synthèse PER'!H45,0)</f>
        <v>0</v>
      </c>
      <c r="AC45" s="287">
        <f>IF(('Synthèse PER'!P45="A faire")*AND('Synthèse PER'!F45="Citoyen"),'Synthèse PER'!H45,0)</f>
        <v>1000000</v>
      </c>
      <c r="AD45" s="287">
        <f>IF(('Synthèse PER'!P45="A faire")*AND('Synthèse PER'!F45="IDELUX"),'Synthèse PER'!H45,0)</f>
        <v>0</v>
      </c>
      <c r="AE45" s="290">
        <f>IF(('Synthèse PER'!P45="A faire")*AND('Synthèse PER'!F45="AC MESSANCY"),'Synthèse PER'!H45,0)</f>
        <v>0</v>
      </c>
      <c r="AF45" s="287">
        <f>IF(('Synthèse PER'!P45="A faire")*AND('Synthèse PER'!F45="Tertiaire"),'Synthèse PER'!H45,0)</f>
        <v>0</v>
      </c>
      <c r="AG45" s="288"/>
      <c r="AH45" s="290">
        <f>IF(('Synthèse PER'!P45="A faire")*AND('Synthèse PER'!F45="Agriculture"),'Synthèse PER'!J45,0)</f>
        <v>0</v>
      </c>
      <c r="AI45" s="290">
        <f>IF(('Synthèse PER'!P45="A faire")*AND('Synthèse PER'!F45="Industrie"),'Synthèse PER'!J45,0)</f>
        <v>0</v>
      </c>
      <c r="AJ45" s="290">
        <f>IF(('Synthèse PER'!P45="A faire")*AND('Synthèse PER'!F45="Citoyen"),'Synthèse PER'!J45,0)</f>
        <v>0</v>
      </c>
      <c r="AK45" s="290">
        <f>IF(('Synthèse PER'!P45="A faire")*AND('Synthèse PER'!F45="IDELUX"),'Synthèse PER'!J45,0)</f>
        <v>0</v>
      </c>
      <c r="AL45" s="290">
        <f>IF(('Synthèse PER'!P45="A faire")*AND('Synthèse PER'!F45="AC MESSANCY"),'Synthèse PER'!J45,0)</f>
        <v>0</v>
      </c>
      <c r="AM45" s="290">
        <f>IF(('Synthèse PER'!P45="A faire")*AND('Synthèse PER'!F45="Tertiaire"),'Synthèse PER'!J45,0)</f>
        <v>0</v>
      </c>
      <c r="AN45" s="288"/>
      <c r="AO45" s="290">
        <f>IF(('Synthèse PER'!P45="A faire")*AND('Synthèse PER'!E45="Territoire"),'Synthèse PER'!H45,0)</f>
        <v>0</v>
      </c>
      <c r="AP45" s="290">
        <f>IF(('Synthèse PER'!P45="A faire")*AND('Synthèse PER'!E45="Agriculture"),'Synthèse PER'!H45,0)</f>
        <v>0</v>
      </c>
      <c r="AQ45" s="290">
        <f>IF(('Synthèse PER'!P45="A faire")*AND('Synthèse PER'!E45="Industrie"),'Synthèse PER'!H45,0)</f>
        <v>0</v>
      </c>
      <c r="AR45" s="290">
        <f>IF(('Synthèse PER'!P45="A faire")*AND('Synthèse PER'!E45="Logement"),'Synthèse PER'!H45,0)</f>
        <v>1000000</v>
      </c>
      <c r="AS45" s="290">
        <f>IF(('Synthèse PER'!P45="A faire")*AND('Synthèse PER'!E45="Tertiaire"),'Synthèse PER'!H45,0)</f>
        <v>0</v>
      </c>
      <c r="AT45" s="290">
        <f>IF(('Synthèse PER'!P45="A faire")*AND('Synthèse PER'!E45="Transport"),'Synthèse PER'!H45,0)</f>
        <v>0</v>
      </c>
      <c r="AU45" s="290">
        <f>IF(('Synthèse PER'!P45="A faire")*AND('Synthèse PER'!E45="Communal"),'Synthèse PER'!H45,0)</f>
        <v>0</v>
      </c>
      <c r="AV45" s="288"/>
      <c r="AW45" s="290">
        <f>IF(('Synthèse PER'!P45="A faire")*AND('Synthèse PER'!E45="Territoire"),'Synthèse PER'!J45,0)</f>
        <v>0</v>
      </c>
      <c r="AX45" s="290">
        <f>IF(('Synthèse PER'!P45="A faire")*AND('Synthèse PER'!E45="Agriculture"),'Synthèse PER'!J45,0)</f>
        <v>0</v>
      </c>
      <c r="AY45" s="290">
        <f>IF(('Synthèse PER'!P45="A faire")*AND('Synthèse PER'!E45="Industrie"),'Synthèse PER'!J45,0)</f>
        <v>0</v>
      </c>
      <c r="AZ45" s="290">
        <f>IF(('Synthèse PER'!P45="A faire")*AND('Synthèse PER'!E45="Logement"),'Synthèse PER'!J45,0)</f>
        <v>0</v>
      </c>
      <c r="BA45" s="290">
        <f>IF(('Synthèse PER'!P45="A faire")*AND('Synthèse PER'!E45="Tertiaire"),'Synthèse PER'!J45,0)</f>
        <v>0</v>
      </c>
      <c r="BB45" s="290">
        <f>IF(('Synthèse PER'!P45="A faire")*AND('Synthèse PER'!E45="Transport"),'Synthèse PER'!J45,0)</f>
        <v>0</v>
      </c>
      <c r="BC45" s="290">
        <f>IF(('Synthèse PER'!P45="A faire")*AND('Synthèse PER'!E45="Communal"),'Synthèse PER'!J45,0)</f>
        <v>0</v>
      </c>
      <c r="BD45" s="288"/>
      <c r="BE45" s="290">
        <f>IF(('Synthèse PER'!P45="A faire")*AND('Synthèse PER'!E45="Territoire"),'Synthèse PER'!K45,0)</f>
        <v>0</v>
      </c>
      <c r="BF45" s="290">
        <f>IF(('Synthèse PER'!P45="A faire")*AND('Synthèse PER'!E45="Agriculture"),'Synthèse PER'!K45,0)</f>
        <v>0</v>
      </c>
      <c r="BG45" s="290">
        <f>IF(('Synthèse PER'!P45="A faire")*AND('Synthèse PER'!E45="Industrie"),'Synthèse PER'!K45,0)</f>
        <v>0</v>
      </c>
      <c r="BH45" s="290">
        <f>IF(('Synthèse PER'!P45="A faire")*AND('Synthèse PER'!E45="Logement"),'Synthèse PER'!K45,0)</f>
        <v>20983.42108636854</v>
      </c>
      <c r="BI45" s="290">
        <f>IF(('Synthèse PER'!P45="A faire")*AND('Synthèse PER'!E45="Tertiaire"),'Synthèse PER'!K45,0)</f>
        <v>0</v>
      </c>
      <c r="BJ45" s="290">
        <f>IF(('Synthèse PER'!P45="A faire")*AND('Synthèse PER'!E45="Transport"),'Synthèse PER'!K45,0)</f>
        <v>0</v>
      </c>
      <c r="BK45" s="290">
        <f>IF(('Synthèse PER'!P45="A faire")*AND('Synthèse PER'!E45="Communal"),'Synthèse PER'!K45,0)</f>
        <v>0</v>
      </c>
      <c r="BL45" s="288"/>
      <c r="BM45" s="290">
        <f>IF(('Synthèse PER'!P45="A faire")*AND('Synthèse PER'!E45="Territoire"),'Synthèse PER'!L45,0)</f>
        <v>0</v>
      </c>
      <c r="BN45" s="290">
        <f>IF(('Synthèse PER'!P45="A faire")*AND('Synthèse PER'!E45="Agriculture"),'Synthèse PER'!L45,0)</f>
        <v>0</v>
      </c>
      <c r="BO45" s="290">
        <f>IF(('Synthèse PER'!P45="A faire")*AND('Synthèse PER'!E45="Industrie"),'Synthèse PER'!L45,0)</f>
        <v>0</v>
      </c>
      <c r="BP45" s="290">
        <f>IF(('Synthèse PER'!P45="A faire")*AND('Synthèse PER'!E45="Logement"),'Synthèse PER'!L45,0)</f>
        <v>0</v>
      </c>
      <c r="BQ45" s="290">
        <f>IF(('Synthèse PER'!P45="A faire")*AND('Synthèse PER'!E45="Tertiaire"),'Synthèse PER'!L45,0)</f>
        <v>0</v>
      </c>
      <c r="BR45" s="290">
        <f>IF(('Synthèse PER'!P45="A faire")*AND('Synthèse PER'!E45="Transport"),'Synthèse PER'!L45,0)</f>
        <v>0</v>
      </c>
      <c r="BS45" s="290">
        <f>IF(('Synthèse PER'!P45="A faire")*AND('Synthèse PER'!E45="Communal"),'Synthèse PER'!L45,0)</f>
        <v>0</v>
      </c>
      <c r="BT45" s="290">
        <f>IF(('Synthèse PER'!Q45="A faire")*AND('Synthèse PER'!F45="Communal"),'Synthèse PER'!M45,0)</f>
        <v>0</v>
      </c>
    </row>
    <row r="46" spans="1:73" s="139" customFormat="1" x14ac:dyDescent="0.25">
      <c r="A46" s="369" t="s">
        <v>88</v>
      </c>
      <c r="B46" s="414" t="str">
        <f>'ADU-14'!B$3:E$3</f>
        <v>Performance énergétique</v>
      </c>
      <c r="C46" s="419" t="str">
        <f>'ADU-14'!$B$8</f>
        <v xml:space="preserve">Logements </v>
      </c>
      <c r="D46" s="133" t="str">
        <f>'ADU-14'!$B$9</f>
        <v>Chaudière biomasse</v>
      </c>
      <c r="E46" s="133" t="str">
        <f>'ADU-14'!$B$4</f>
        <v>Logement</v>
      </c>
      <c r="F46" s="133" t="str">
        <f>'ADU-14'!$B$12</f>
        <v>Citoyen</v>
      </c>
      <c r="G46" s="133" t="str">
        <f>'ADU-14'!$B$6</f>
        <v>Fonds propres</v>
      </c>
      <c r="H46" s="134">
        <f>'ADU-14'!$B$17</f>
        <v>300000</v>
      </c>
      <c r="I46" s="133" t="str">
        <f>'ADU-14'!$B$7</f>
        <v>Primes RW</v>
      </c>
      <c r="J46" s="134">
        <f>'ADU-14'!$B$18</f>
        <v>16000</v>
      </c>
      <c r="K46" s="134">
        <f>'ADU-14'!$B$21</f>
        <v>20983.42108636854</v>
      </c>
      <c r="L46" s="134">
        <f>'ADU-14'!$B$22</f>
        <v>0</v>
      </c>
      <c r="M46" s="135">
        <f>'ADU-14'!$B$24</f>
        <v>13.534494629405065</v>
      </c>
      <c r="N46" s="135">
        <f>'ADU-14'!$B$19/1000</f>
        <v>0</v>
      </c>
      <c r="O46" s="136"/>
      <c r="P46" s="137" t="str">
        <f>'ADU-14'!$B$5</f>
        <v>A faire</v>
      </c>
      <c r="Q46" s="140">
        <f>'ADU-14'!$B$16</f>
        <v>2030</v>
      </c>
      <c r="R46" s="283" t="str">
        <f t="shared" si="46"/>
        <v/>
      </c>
      <c r="S46" s="138">
        <f t="shared" si="9"/>
        <v>0</v>
      </c>
      <c r="T46" s="138">
        <f t="shared" si="10"/>
        <v>0</v>
      </c>
      <c r="U46" s="138">
        <f t="shared" si="11"/>
        <v>0</v>
      </c>
      <c r="V46" s="138">
        <f t="shared" si="12"/>
        <v>0</v>
      </c>
      <c r="W46" s="138">
        <f t="shared" si="13"/>
        <v>0</v>
      </c>
      <c r="X46" s="138">
        <f t="shared" si="14"/>
        <v>0</v>
      </c>
      <c r="Y46" s="138">
        <f t="shared" si="15"/>
        <v>0</v>
      </c>
      <c r="AA46" s="287">
        <f>IF(('Synthèse PER'!P46="A faire")*AND('Synthèse PER'!F46="Agriculture"),'Synthèse PER'!H46,0)</f>
        <v>0</v>
      </c>
      <c r="AB46" s="287">
        <f>IF(('Synthèse PER'!P46="A faire")*AND('Synthèse PER'!F46="Industrie"),'Synthèse PER'!H46,0)</f>
        <v>0</v>
      </c>
      <c r="AC46" s="287">
        <f>IF(('Synthèse PER'!P46="A faire")*AND('Synthèse PER'!F46="Citoyen"),'Synthèse PER'!H46,0)</f>
        <v>300000</v>
      </c>
      <c r="AD46" s="287">
        <f>IF(('Synthèse PER'!P46="A faire")*AND('Synthèse PER'!F46="IDELUX"),'Synthèse PER'!H46,0)</f>
        <v>0</v>
      </c>
      <c r="AE46" s="290">
        <f>IF(('Synthèse PER'!P46="A faire")*AND('Synthèse PER'!F46="AC MESSANCY"),'Synthèse PER'!H46,0)</f>
        <v>0</v>
      </c>
      <c r="AF46" s="287">
        <f>IF(('Synthèse PER'!P46="A faire")*AND('Synthèse PER'!F46="Tertiaire"),'Synthèse PER'!H46,0)</f>
        <v>0</v>
      </c>
      <c r="AG46" s="288"/>
      <c r="AH46" s="290">
        <f>IF(('Synthèse PER'!P46="A faire")*AND('Synthèse PER'!F46="Agriculture"),'Synthèse PER'!J46,0)</f>
        <v>0</v>
      </c>
      <c r="AI46" s="290">
        <f>IF(('Synthèse PER'!P46="A faire")*AND('Synthèse PER'!F46="Industrie"),'Synthèse PER'!J46,0)</f>
        <v>0</v>
      </c>
      <c r="AJ46" s="290">
        <f>IF(('Synthèse PER'!P46="A faire")*AND('Synthèse PER'!F46="Citoyen"),'Synthèse PER'!J46,0)</f>
        <v>16000</v>
      </c>
      <c r="AK46" s="290">
        <f>IF(('Synthèse PER'!P46="A faire")*AND('Synthèse PER'!F46="IDELUX"),'Synthèse PER'!J46,0)</f>
        <v>0</v>
      </c>
      <c r="AL46" s="290">
        <f>IF(('Synthèse PER'!P46="A faire")*AND('Synthèse PER'!F46="AC MESSANCY"),'Synthèse PER'!J46,0)</f>
        <v>0</v>
      </c>
      <c r="AM46" s="290">
        <f>IF(('Synthèse PER'!P46="A faire")*AND('Synthèse PER'!F46="Tertiaire"),'Synthèse PER'!J46,0)</f>
        <v>0</v>
      </c>
      <c r="AN46" s="288"/>
      <c r="AO46" s="290">
        <f>IF(('Synthèse PER'!P46="A faire")*AND('Synthèse PER'!E46="Territoire"),'Synthèse PER'!H46,0)</f>
        <v>0</v>
      </c>
      <c r="AP46" s="290">
        <f>IF(('Synthèse PER'!P46="A faire")*AND('Synthèse PER'!E46="Agriculture"),'Synthèse PER'!H46,0)</f>
        <v>0</v>
      </c>
      <c r="AQ46" s="290">
        <f>IF(('Synthèse PER'!P46="A faire")*AND('Synthèse PER'!E46="Industrie"),'Synthèse PER'!H46,0)</f>
        <v>0</v>
      </c>
      <c r="AR46" s="290">
        <f>IF(('Synthèse PER'!P46="A faire")*AND('Synthèse PER'!E46="Logement"),'Synthèse PER'!H46,0)</f>
        <v>300000</v>
      </c>
      <c r="AS46" s="290">
        <f>IF(('Synthèse PER'!P46="A faire")*AND('Synthèse PER'!E46="Tertiaire"),'Synthèse PER'!H46,0)</f>
        <v>0</v>
      </c>
      <c r="AT46" s="290">
        <f>IF(('Synthèse PER'!P46="A faire")*AND('Synthèse PER'!E46="Transport"),'Synthèse PER'!H46,0)</f>
        <v>0</v>
      </c>
      <c r="AU46" s="290">
        <f>IF(('Synthèse PER'!P46="A faire")*AND('Synthèse PER'!E46="Communal"),'Synthèse PER'!H46,0)</f>
        <v>0</v>
      </c>
      <c r="AV46" s="288"/>
      <c r="AW46" s="290">
        <f>IF(('Synthèse PER'!P46="A faire")*AND('Synthèse PER'!E46="Territoire"),'Synthèse PER'!J46,0)</f>
        <v>0</v>
      </c>
      <c r="AX46" s="290">
        <f>IF(('Synthèse PER'!P46="A faire")*AND('Synthèse PER'!E46="Agriculture"),'Synthèse PER'!J46,0)</f>
        <v>0</v>
      </c>
      <c r="AY46" s="290">
        <f>IF(('Synthèse PER'!P46="A faire")*AND('Synthèse PER'!E46="Industrie"),'Synthèse PER'!J46,0)</f>
        <v>0</v>
      </c>
      <c r="AZ46" s="290">
        <f>IF(('Synthèse PER'!P46="A faire")*AND('Synthèse PER'!E46="Logement"),'Synthèse PER'!J46,0)</f>
        <v>16000</v>
      </c>
      <c r="BA46" s="290">
        <f>IF(('Synthèse PER'!P46="A faire")*AND('Synthèse PER'!E46="Tertiaire"),'Synthèse PER'!J46,0)</f>
        <v>0</v>
      </c>
      <c r="BB46" s="290">
        <f>IF(('Synthèse PER'!P46="A faire")*AND('Synthèse PER'!E46="Transport"),'Synthèse PER'!J46,0)</f>
        <v>0</v>
      </c>
      <c r="BC46" s="290">
        <f>IF(('Synthèse PER'!P46="A faire")*AND('Synthèse PER'!E46="Communal"),'Synthèse PER'!J46,0)</f>
        <v>0</v>
      </c>
      <c r="BD46" s="288"/>
      <c r="BE46" s="290">
        <f>IF(('Synthèse PER'!P46="A faire")*AND('Synthèse PER'!E46="Territoire"),'Synthèse PER'!K46,0)</f>
        <v>0</v>
      </c>
      <c r="BF46" s="290">
        <f>IF(('Synthèse PER'!P46="A faire")*AND('Synthèse PER'!E46="Agriculture"),'Synthèse PER'!K46,0)</f>
        <v>0</v>
      </c>
      <c r="BG46" s="290">
        <f>IF(('Synthèse PER'!P46="A faire")*AND('Synthèse PER'!E46="Industrie"),'Synthèse PER'!K46,0)</f>
        <v>0</v>
      </c>
      <c r="BH46" s="290">
        <f>IF(('Synthèse PER'!P46="A faire")*AND('Synthèse PER'!E46="Logement"),'Synthèse PER'!K46,0)</f>
        <v>20983.42108636854</v>
      </c>
      <c r="BI46" s="290">
        <f>IF(('Synthèse PER'!P46="A faire")*AND('Synthèse PER'!E46="Tertiaire"),'Synthèse PER'!K46,0)</f>
        <v>0</v>
      </c>
      <c r="BJ46" s="290">
        <f>IF(('Synthèse PER'!P46="A faire")*AND('Synthèse PER'!E46="Transport"),'Synthèse PER'!K46,0)</f>
        <v>0</v>
      </c>
      <c r="BK46" s="290">
        <f>IF(('Synthèse PER'!P46="A faire")*AND('Synthèse PER'!E46="Communal"),'Synthèse PER'!K46,0)</f>
        <v>0</v>
      </c>
      <c r="BL46" s="288"/>
      <c r="BM46" s="290">
        <f>IF(('Synthèse PER'!P46="A faire")*AND('Synthèse PER'!E46="Territoire"),'Synthèse PER'!L46,0)</f>
        <v>0</v>
      </c>
      <c r="BN46" s="290">
        <f>IF(('Synthèse PER'!P46="A faire")*AND('Synthèse PER'!E46="Agriculture"),'Synthèse PER'!L46,0)</f>
        <v>0</v>
      </c>
      <c r="BO46" s="290">
        <f>IF(('Synthèse PER'!P46="A faire")*AND('Synthèse PER'!E46="Industrie"),'Synthèse PER'!L46,0)</f>
        <v>0</v>
      </c>
      <c r="BP46" s="290">
        <f>IF(('Synthèse PER'!P46="A faire")*AND('Synthèse PER'!E46="Logement"),'Synthèse PER'!L46,0)</f>
        <v>0</v>
      </c>
      <c r="BQ46" s="290">
        <f>IF(('Synthèse PER'!P46="A faire")*AND('Synthèse PER'!E46="Tertiaire"),'Synthèse PER'!L46,0)</f>
        <v>0</v>
      </c>
      <c r="BR46" s="290">
        <f>IF(('Synthèse PER'!P46="A faire")*AND('Synthèse PER'!E46="Transport"),'Synthèse PER'!L46,0)</f>
        <v>0</v>
      </c>
      <c r="BS46" s="290">
        <f>IF(('Synthèse PER'!P46="A faire")*AND('Synthèse PER'!E46="Communal"),'Synthèse PER'!L46,0)</f>
        <v>0</v>
      </c>
      <c r="BT46" s="290">
        <f>IF(('Synthèse PER'!Q46="A faire")*AND('Synthèse PER'!F46="Communal"),'Synthèse PER'!M46,0)</f>
        <v>0</v>
      </c>
    </row>
    <row r="47" spans="1:73" s="139" customFormat="1" x14ac:dyDescent="0.25">
      <c r="A47" s="369" t="s">
        <v>89</v>
      </c>
      <c r="B47" s="414" t="str">
        <f>'ADU-15'!B$3:E$3</f>
        <v>Performance énergétique</v>
      </c>
      <c r="C47" s="419" t="str">
        <f>'ADU-15'!$B$8</f>
        <v xml:space="preserve">Logements </v>
      </c>
      <c r="D47" s="133" t="str">
        <f>'ADU-15'!$B$9</f>
        <v xml:space="preserve"> Chauffage d'appoint biomasse</v>
      </c>
      <c r="E47" s="133" t="str">
        <f>'ADU-15'!$B$4</f>
        <v>Logement</v>
      </c>
      <c r="F47" s="133" t="str">
        <f>'ADU-15'!$B$12</f>
        <v>Citoyen</v>
      </c>
      <c r="G47" s="133" t="str">
        <f>'ADU-15'!$B$6</f>
        <v>Fonds propres</v>
      </c>
      <c r="H47" s="134">
        <f>'ADU-15'!$B$17</f>
        <v>2500000</v>
      </c>
      <c r="I47" s="133" t="str">
        <f>'ADU-15'!$B$7</f>
        <v>Primes RW</v>
      </c>
      <c r="J47" s="134">
        <f>'ADU-15'!$B$18</f>
        <v>400000</v>
      </c>
      <c r="K47" s="134">
        <f>'ADU-15'!$B$21</f>
        <v>496999.99999999994</v>
      </c>
      <c r="L47" s="134">
        <f>'ADU-15'!$B$22</f>
        <v>0</v>
      </c>
      <c r="M47" s="135">
        <f>'ADU-15'!$B$24</f>
        <v>4.2253521126760569</v>
      </c>
      <c r="N47" s="135">
        <f>'ADU-15'!$B$19/1000</f>
        <v>0</v>
      </c>
      <c r="O47" s="136"/>
      <c r="P47" s="137" t="str">
        <f>'ADU-15'!$B$5</f>
        <v>A faire</v>
      </c>
      <c r="Q47" s="140">
        <f>'ADU-15'!$B$16</f>
        <v>2030</v>
      </c>
      <c r="R47" s="283" t="str">
        <f t="shared" si="46"/>
        <v/>
      </c>
      <c r="S47" s="138">
        <f t="shared" si="9"/>
        <v>0</v>
      </c>
      <c r="T47" s="138">
        <f t="shared" si="10"/>
        <v>0</v>
      </c>
      <c r="U47" s="138">
        <f t="shared" si="11"/>
        <v>0</v>
      </c>
      <c r="V47" s="138">
        <f t="shared" si="12"/>
        <v>0</v>
      </c>
      <c r="W47" s="138">
        <f t="shared" si="13"/>
        <v>0</v>
      </c>
      <c r="X47" s="138">
        <f t="shared" si="14"/>
        <v>0</v>
      </c>
      <c r="Y47" s="138">
        <f t="shared" si="15"/>
        <v>0</v>
      </c>
      <c r="AA47" s="287">
        <f>IF(('Synthèse PER'!P47="A faire")*AND('Synthèse PER'!F47="Agriculture"),'Synthèse PER'!H47,0)</f>
        <v>0</v>
      </c>
      <c r="AB47" s="287">
        <f>IF(('Synthèse PER'!P47="A faire")*AND('Synthèse PER'!F47="Industrie"),'Synthèse PER'!H47,0)</f>
        <v>0</v>
      </c>
      <c r="AC47" s="287">
        <f>IF(('Synthèse PER'!P47="A faire")*AND('Synthèse PER'!F47="Citoyen"),'Synthèse PER'!H47,0)</f>
        <v>2500000</v>
      </c>
      <c r="AD47" s="287">
        <f>IF(('Synthèse PER'!P47="A faire")*AND('Synthèse PER'!F47="IDELUX"),'Synthèse PER'!H47,0)</f>
        <v>0</v>
      </c>
      <c r="AE47" s="290">
        <f>IF(('Synthèse PER'!P47="A faire")*AND('Synthèse PER'!F47="AC MESSANCY"),'Synthèse PER'!H47,0)</f>
        <v>0</v>
      </c>
      <c r="AF47" s="287">
        <f>IF(('Synthèse PER'!P47="A faire")*AND('Synthèse PER'!F47="Tertiaire"),'Synthèse PER'!H47,0)</f>
        <v>0</v>
      </c>
      <c r="AG47" s="288"/>
      <c r="AH47" s="290">
        <f>IF(('Synthèse PER'!P47="A faire")*AND('Synthèse PER'!F47="Agriculture"),'Synthèse PER'!J47,0)</f>
        <v>0</v>
      </c>
      <c r="AI47" s="290">
        <f>IF(('Synthèse PER'!P47="A faire")*AND('Synthèse PER'!F47="Industrie"),'Synthèse PER'!J47,0)</f>
        <v>0</v>
      </c>
      <c r="AJ47" s="290">
        <f>IF(('Synthèse PER'!P47="A faire")*AND('Synthèse PER'!F47="Citoyen"),'Synthèse PER'!J47,0)</f>
        <v>400000</v>
      </c>
      <c r="AK47" s="290">
        <f>IF(('Synthèse PER'!P47="A faire")*AND('Synthèse PER'!F47="IDELUX"),'Synthèse PER'!J47,0)</f>
        <v>0</v>
      </c>
      <c r="AL47" s="290">
        <f>IF(('Synthèse PER'!P47="A faire")*AND('Synthèse PER'!F47="AC MESSANCY"),'Synthèse PER'!J47,0)</f>
        <v>0</v>
      </c>
      <c r="AM47" s="290">
        <f>IF(('Synthèse PER'!P47="A faire")*AND('Synthèse PER'!F47="Tertiaire"),'Synthèse PER'!J47,0)</f>
        <v>0</v>
      </c>
      <c r="AN47" s="288"/>
      <c r="AO47" s="290">
        <f>IF(('Synthèse PER'!P47="A faire")*AND('Synthèse PER'!E47="Territoire"),'Synthèse PER'!H47,0)</f>
        <v>0</v>
      </c>
      <c r="AP47" s="290">
        <f>IF(('Synthèse PER'!P47="A faire")*AND('Synthèse PER'!E47="Agriculture"),'Synthèse PER'!H47,0)</f>
        <v>0</v>
      </c>
      <c r="AQ47" s="290">
        <f>IF(('Synthèse PER'!P47="A faire")*AND('Synthèse PER'!E47="Industrie"),'Synthèse PER'!H47,0)</f>
        <v>0</v>
      </c>
      <c r="AR47" s="290">
        <f>IF(('Synthèse PER'!P47="A faire")*AND('Synthèse PER'!E47="Logement"),'Synthèse PER'!H47,0)</f>
        <v>2500000</v>
      </c>
      <c r="AS47" s="290">
        <f>IF(('Synthèse PER'!P47="A faire")*AND('Synthèse PER'!E47="Tertiaire"),'Synthèse PER'!H47,0)</f>
        <v>0</v>
      </c>
      <c r="AT47" s="290">
        <f>IF(('Synthèse PER'!P47="A faire")*AND('Synthèse PER'!E47="Transport"),'Synthèse PER'!H47,0)</f>
        <v>0</v>
      </c>
      <c r="AU47" s="290">
        <f>IF(('Synthèse PER'!P47="A faire")*AND('Synthèse PER'!E47="Communal"),'Synthèse PER'!H47,0)</f>
        <v>0</v>
      </c>
      <c r="AV47" s="288"/>
      <c r="AW47" s="290">
        <f>IF(('Synthèse PER'!P47="A faire")*AND('Synthèse PER'!E47="Territoire"),'Synthèse PER'!J47,0)</f>
        <v>0</v>
      </c>
      <c r="AX47" s="290">
        <f>IF(('Synthèse PER'!P47="A faire")*AND('Synthèse PER'!E47="Agriculture"),'Synthèse PER'!J47,0)</f>
        <v>0</v>
      </c>
      <c r="AY47" s="290">
        <f>IF(('Synthèse PER'!P47="A faire")*AND('Synthèse PER'!E47="Industrie"),'Synthèse PER'!J47,0)</f>
        <v>0</v>
      </c>
      <c r="AZ47" s="290">
        <f>IF(('Synthèse PER'!P47="A faire")*AND('Synthèse PER'!E47="Logement"),'Synthèse PER'!J47,0)</f>
        <v>400000</v>
      </c>
      <c r="BA47" s="290">
        <f>IF(('Synthèse PER'!P47="A faire")*AND('Synthèse PER'!E47="Tertiaire"),'Synthèse PER'!J47,0)</f>
        <v>0</v>
      </c>
      <c r="BB47" s="290">
        <f>IF(('Synthèse PER'!P47="A faire")*AND('Synthèse PER'!E47="Transport"),'Synthèse PER'!J47,0)</f>
        <v>0</v>
      </c>
      <c r="BC47" s="290">
        <f>IF(('Synthèse PER'!P47="A faire")*AND('Synthèse PER'!E47="Communal"),'Synthèse PER'!J47,0)</f>
        <v>0</v>
      </c>
      <c r="BD47" s="288"/>
      <c r="BE47" s="290">
        <f>IF(('Synthèse PER'!P47="A faire")*AND('Synthèse PER'!E47="Territoire"),'Synthèse PER'!K47,0)</f>
        <v>0</v>
      </c>
      <c r="BF47" s="290">
        <f>IF(('Synthèse PER'!P47="A faire")*AND('Synthèse PER'!E47="Agriculture"),'Synthèse PER'!K47,0)</f>
        <v>0</v>
      </c>
      <c r="BG47" s="290">
        <f>IF(('Synthèse PER'!P47="A faire")*AND('Synthèse PER'!E47="Industrie"),'Synthèse PER'!K47,0)</f>
        <v>0</v>
      </c>
      <c r="BH47" s="290">
        <f>IF(('Synthèse PER'!P47="A faire")*AND('Synthèse PER'!E47="Logement"),'Synthèse PER'!K47,0)</f>
        <v>496999.99999999994</v>
      </c>
      <c r="BI47" s="290">
        <f>IF(('Synthèse PER'!P47="A faire")*AND('Synthèse PER'!E47="Tertiaire"),'Synthèse PER'!K47,0)</f>
        <v>0</v>
      </c>
      <c r="BJ47" s="290">
        <f>IF(('Synthèse PER'!P47="A faire")*AND('Synthèse PER'!E47="Transport"),'Synthèse PER'!K47,0)</f>
        <v>0</v>
      </c>
      <c r="BK47" s="290">
        <f>IF(('Synthèse PER'!P47="A faire")*AND('Synthèse PER'!E47="Communal"),'Synthèse PER'!K47,0)</f>
        <v>0</v>
      </c>
      <c r="BL47" s="288"/>
      <c r="BM47" s="290">
        <f>IF(('Synthèse PER'!P47="A faire")*AND('Synthèse PER'!E47="Territoire"),'Synthèse PER'!L47,0)</f>
        <v>0</v>
      </c>
      <c r="BN47" s="290">
        <f>IF(('Synthèse PER'!P47="A faire")*AND('Synthèse PER'!E47="Agriculture"),'Synthèse PER'!L47,0)</f>
        <v>0</v>
      </c>
      <c r="BO47" s="290">
        <f>IF(('Synthèse PER'!P47="A faire")*AND('Synthèse PER'!E47="Industrie"),'Synthèse PER'!L47,0)</f>
        <v>0</v>
      </c>
      <c r="BP47" s="290">
        <f>IF(('Synthèse PER'!P47="A faire")*AND('Synthèse PER'!E47="Logement"),'Synthèse PER'!L47,0)</f>
        <v>0</v>
      </c>
      <c r="BQ47" s="290">
        <f>IF(('Synthèse PER'!P47="A faire")*AND('Synthèse PER'!E47="Tertiaire"),'Synthèse PER'!L47,0)</f>
        <v>0</v>
      </c>
      <c r="BR47" s="290">
        <f>IF(('Synthèse PER'!P47="A faire")*AND('Synthèse PER'!E47="Transport"),'Synthèse PER'!L47,0)</f>
        <v>0</v>
      </c>
      <c r="BS47" s="290">
        <f>IF(('Synthèse PER'!P47="A faire")*AND('Synthèse PER'!E47="Communal"),'Synthèse PER'!L47,0)</f>
        <v>0</v>
      </c>
      <c r="BT47" s="290">
        <f>IF(('Synthèse PER'!Q47="A faire")*AND('Synthèse PER'!F47="Communal"),'Synthèse PER'!M47,0)</f>
        <v>0</v>
      </c>
    </row>
    <row r="48" spans="1:73" s="139" customFormat="1" x14ac:dyDescent="0.25">
      <c r="A48" s="369" t="s">
        <v>90</v>
      </c>
      <c r="B48" s="414" t="str">
        <f>'ADU-16'!B$3:E$3</f>
        <v>Performance énergétique</v>
      </c>
      <c r="C48" s="419" t="str">
        <f>'ADU-16'!$B$8</f>
        <v>Logement</v>
      </c>
      <c r="D48" s="133" t="str">
        <f>'ADU-16'!$B$9</f>
        <v>Pompes à chaleur GEO</v>
      </c>
      <c r="E48" s="133" t="str">
        <f>'ADU-16'!$B$4</f>
        <v>Logement</v>
      </c>
      <c r="F48" s="133" t="str">
        <f>'ADU-16'!$B$12</f>
        <v>Citoyen</v>
      </c>
      <c r="G48" s="133" t="str">
        <f>'ADU-16'!$B$6</f>
        <v>ECOPÄCK</v>
      </c>
      <c r="H48" s="134">
        <f>'ADU-16'!$B$17</f>
        <v>90000</v>
      </c>
      <c r="I48" s="133" t="str">
        <f>'ADU-16'!$B$7</f>
        <v>Néant</v>
      </c>
      <c r="J48" s="134">
        <f>'ADU-16'!$B$18</f>
        <v>0</v>
      </c>
      <c r="K48" s="134">
        <f>'ADU-16'!$B$21</f>
        <v>2100</v>
      </c>
      <c r="L48" s="134">
        <f>'ADU-16'!$B$22</f>
        <v>0</v>
      </c>
      <c r="M48" s="135">
        <f>'ADU-16'!$B$24</f>
        <v>9.5238095238095237</v>
      </c>
      <c r="N48" s="135">
        <f>'ADU-16'!$B$19/1000</f>
        <v>0</v>
      </c>
      <c r="O48" s="136">
        <f>IF(H48=0,0,N48/(H48-J48)*1000)</f>
        <v>0</v>
      </c>
      <c r="P48" s="137" t="str">
        <f>'ADU-16'!$B$5</f>
        <v>A faire</v>
      </c>
      <c r="Q48" s="140">
        <f>'ADU-16'!$B$16</f>
        <v>2030</v>
      </c>
      <c r="R48" s="283" t="str">
        <f t="shared" si="46"/>
        <v/>
      </c>
      <c r="S48" s="138">
        <f t="shared" si="9"/>
        <v>0</v>
      </c>
      <c r="T48" s="138">
        <f t="shared" si="10"/>
        <v>0</v>
      </c>
      <c r="U48" s="138">
        <f t="shared" si="11"/>
        <v>0</v>
      </c>
      <c r="V48" s="138">
        <f t="shared" si="12"/>
        <v>0</v>
      </c>
      <c r="W48" s="138">
        <f t="shared" si="13"/>
        <v>0</v>
      </c>
      <c r="X48" s="138">
        <f t="shared" si="14"/>
        <v>0</v>
      </c>
      <c r="Y48" s="138">
        <f t="shared" si="15"/>
        <v>0</v>
      </c>
      <c r="AA48" s="287">
        <f>IF(('Synthèse PER'!P48="A faire")*AND('Synthèse PER'!F48="Agriculture"),'Synthèse PER'!H48,0)</f>
        <v>0</v>
      </c>
      <c r="AB48" s="287">
        <f>IF(('Synthèse PER'!P48="A faire")*AND('Synthèse PER'!F48="Industrie"),'Synthèse PER'!H48,0)</f>
        <v>0</v>
      </c>
      <c r="AC48" s="287">
        <f>IF(('Synthèse PER'!P48="A faire")*AND('Synthèse PER'!F48="Citoyen"),'Synthèse PER'!H48,0)</f>
        <v>90000</v>
      </c>
      <c r="AD48" s="287">
        <f>IF(('Synthèse PER'!P48="A faire")*AND('Synthèse PER'!F48="IDELUX"),'Synthèse PER'!H48,0)</f>
        <v>0</v>
      </c>
      <c r="AE48" s="290">
        <f>IF(('Synthèse PER'!P48="A faire")*AND('Synthèse PER'!F48="AC MESSANCY"),'Synthèse PER'!H48,0)</f>
        <v>0</v>
      </c>
      <c r="AF48" s="287">
        <f>IF(('Synthèse PER'!P48="A faire")*AND('Synthèse PER'!F48="Tertiaire"),'Synthèse PER'!H48,0)</f>
        <v>0</v>
      </c>
      <c r="AG48" s="288"/>
      <c r="AH48" s="290">
        <f>IF(('Synthèse PER'!P48="A faire")*AND('Synthèse PER'!F48="Agriculture"),'Synthèse PER'!J48,0)</f>
        <v>0</v>
      </c>
      <c r="AI48" s="290">
        <f>IF(('Synthèse PER'!P48="A faire")*AND('Synthèse PER'!F48="Industrie"),'Synthèse PER'!J48,0)</f>
        <v>0</v>
      </c>
      <c r="AJ48" s="290">
        <f>IF(('Synthèse PER'!P48="A faire")*AND('Synthèse PER'!F48="Citoyen"),'Synthèse PER'!J48,0)</f>
        <v>0</v>
      </c>
      <c r="AK48" s="290">
        <f>IF(('Synthèse PER'!P48="A faire")*AND('Synthèse PER'!F48="IDELUX"),'Synthèse PER'!J48,0)</f>
        <v>0</v>
      </c>
      <c r="AL48" s="290">
        <f>IF(('Synthèse PER'!P48="A faire")*AND('Synthèse PER'!F48="AC MESSANCY"),'Synthèse PER'!J48,0)</f>
        <v>0</v>
      </c>
      <c r="AM48" s="290">
        <f>IF(('Synthèse PER'!P48="A faire")*AND('Synthèse PER'!F48="Tertiaire"),'Synthèse PER'!J48,0)</f>
        <v>0</v>
      </c>
      <c r="AN48" s="288"/>
      <c r="AO48" s="290">
        <f>IF(('Synthèse PER'!P48="A faire")*AND('Synthèse PER'!E48="Territoire"),'Synthèse PER'!H48,0)</f>
        <v>0</v>
      </c>
      <c r="AP48" s="290">
        <f>IF(('Synthèse PER'!P48="A faire")*AND('Synthèse PER'!E48="Agriculture"),'Synthèse PER'!H48,0)</f>
        <v>0</v>
      </c>
      <c r="AQ48" s="290">
        <f>IF(('Synthèse PER'!P48="A faire")*AND('Synthèse PER'!E48="Industrie"),'Synthèse PER'!H48,0)</f>
        <v>0</v>
      </c>
      <c r="AR48" s="290">
        <f>IF(('Synthèse PER'!P48="A faire")*AND('Synthèse PER'!E48="Logement"),'Synthèse PER'!H48,0)</f>
        <v>90000</v>
      </c>
      <c r="AS48" s="290">
        <f>IF(('Synthèse PER'!P48="A faire")*AND('Synthèse PER'!E48="Tertiaire"),'Synthèse PER'!H48,0)</f>
        <v>0</v>
      </c>
      <c r="AT48" s="290">
        <f>IF(('Synthèse PER'!P48="A faire")*AND('Synthèse PER'!E48="Transport"),'Synthèse PER'!H48,0)</f>
        <v>0</v>
      </c>
      <c r="AU48" s="290">
        <f>IF(('Synthèse PER'!P48="A faire")*AND('Synthèse PER'!E48="Communal"),'Synthèse PER'!H48,0)</f>
        <v>0</v>
      </c>
      <c r="AV48" s="288"/>
      <c r="AW48" s="290">
        <f>IF(('Synthèse PER'!P48="A faire")*AND('Synthèse PER'!E48="Territoire"),'Synthèse PER'!J48,0)</f>
        <v>0</v>
      </c>
      <c r="AX48" s="290">
        <f>IF(('Synthèse PER'!P48="A faire")*AND('Synthèse PER'!E48="Agriculture"),'Synthèse PER'!J48,0)</f>
        <v>0</v>
      </c>
      <c r="AY48" s="290">
        <f>IF(('Synthèse PER'!P48="A faire")*AND('Synthèse PER'!E48="Industrie"),'Synthèse PER'!J48,0)</f>
        <v>0</v>
      </c>
      <c r="AZ48" s="290">
        <f>IF(('Synthèse PER'!P48="A faire")*AND('Synthèse PER'!E48="Logement"),'Synthèse PER'!J48,0)</f>
        <v>0</v>
      </c>
      <c r="BA48" s="290">
        <f>IF(('Synthèse PER'!P48="A faire")*AND('Synthèse PER'!E48="Tertiaire"),'Synthèse PER'!J48,0)</f>
        <v>0</v>
      </c>
      <c r="BB48" s="290">
        <f>IF(('Synthèse PER'!P48="A faire")*AND('Synthèse PER'!E48="Transport"),'Synthèse PER'!J48,0)</f>
        <v>0</v>
      </c>
      <c r="BC48" s="290">
        <f>IF(('Synthèse PER'!P48="A faire")*AND('Synthèse PER'!E48="Communal"),'Synthèse PER'!J48,0)</f>
        <v>0</v>
      </c>
      <c r="BD48" s="288"/>
      <c r="BE48" s="290">
        <f>IF(('Synthèse PER'!P48="A faire")*AND('Synthèse PER'!E48="Territoire"),'Synthèse PER'!K48,0)</f>
        <v>0</v>
      </c>
      <c r="BF48" s="290">
        <f>IF(('Synthèse PER'!P48="A faire")*AND('Synthèse PER'!E48="Agriculture"),'Synthèse PER'!K48,0)</f>
        <v>0</v>
      </c>
      <c r="BG48" s="290">
        <f>IF(('Synthèse PER'!P48="A faire")*AND('Synthèse PER'!E48="Industrie"),'Synthèse PER'!K48,0)</f>
        <v>0</v>
      </c>
      <c r="BH48" s="290">
        <f>IF(('Synthèse PER'!P48="A faire")*AND('Synthèse PER'!E48="Logement"),'Synthèse PER'!K48,0)</f>
        <v>2100</v>
      </c>
      <c r="BI48" s="290">
        <f>IF(('Synthèse PER'!P48="A faire")*AND('Synthèse PER'!E48="Tertiaire"),'Synthèse PER'!K48,0)</f>
        <v>0</v>
      </c>
      <c r="BJ48" s="290">
        <f>IF(('Synthèse PER'!P48="A faire")*AND('Synthèse PER'!E48="Transport"),'Synthèse PER'!K48,0)</f>
        <v>0</v>
      </c>
      <c r="BK48" s="290">
        <f>IF(('Synthèse PER'!P48="A faire")*AND('Synthèse PER'!E48="Communal"),'Synthèse PER'!K48,0)</f>
        <v>0</v>
      </c>
      <c r="BL48" s="288"/>
      <c r="BM48" s="290">
        <f>IF(('Synthèse PER'!P48="A faire")*AND('Synthèse PER'!E48="Territoire"),'Synthèse PER'!L48,0)</f>
        <v>0</v>
      </c>
      <c r="BN48" s="290">
        <f>IF(('Synthèse PER'!P48="A faire")*AND('Synthèse PER'!E48="Agriculture"),'Synthèse PER'!L48,0)</f>
        <v>0</v>
      </c>
      <c r="BO48" s="290">
        <f>IF(('Synthèse PER'!P48="A faire")*AND('Synthèse PER'!E48="Industrie"),'Synthèse PER'!L48,0)</f>
        <v>0</v>
      </c>
      <c r="BP48" s="290">
        <f>IF(('Synthèse PER'!P48="A faire")*AND('Synthèse PER'!E48="Logement"),'Synthèse PER'!L48,0)</f>
        <v>0</v>
      </c>
      <c r="BQ48" s="290">
        <f>IF(('Synthèse PER'!P48="A faire")*AND('Synthèse PER'!E48="Tertiaire"),'Synthèse PER'!L48,0)</f>
        <v>0</v>
      </c>
      <c r="BR48" s="290">
        <f>IF(('Synthèse PER'!P48="A faire")*AND('Synthèse PER'!E48="Transport"),'Synthèse PER'!L48,0)</f>
        <v>0</v>
      </c>
      <c r="BS48" s="290">
        <f>IF(('Synthèse PER'!P48="A faire")*AND('Synthèse PER'!E48="Communal"),'Synthèse PER'!L48,0)</f>
        <v>0</v>
      </c>
      <c r="BT48" s="290">
        <f>IF(('Synthèse PER'!Q48="A faire")*AND('Synthèse PER'!F48="Communal"),'Synthèse PER'!M48,0)</f>
        <v>0</v>
      </c>
    </row>
    <row r="49" spans="1:72" s="139" customFormat="1" x14ac:dyDescent="0.25">
      <c r="A49" s="369" t="s">
        <v>91</v>
      </c>
      <c r="B49" s="414" t="str">
        <f>'ADU-17'!B$3:E$3</f>
        <v>Performance énergétique</v>
      </c>
      <c r="C49" s="419" t="str">
        <f>'ADU-17'!$B$8</f>
        <v>Logement</v>
      </c>
      <c r="D49" s="133" t="str">
        <f>'ADU-17'!$B$9</f>
        <v>Pompes à chaleur A-A</v>
      </c>
      <c r="E49" s="133" t="str">
        <f>'ADU-17'!$B$4</f>
        <v>Logement</v>
      </c>
      <c r="F49" s="133" t="str">
        <f>'ADU-17'!$B$12</f>
        <v>Citoyen</v>
      </c>
      <c r="G49" s="133" t="str">
        <f>'ADU-17'!$B$6</f>
        <v>ECOPÄCK</v>
      </c>
      <c r="H49" s="134">
        <f>'ADU-17'!$B$17</f>
        <v>55000</v>
      </c>
      <c r="I49" s="133" t="str">
        <f>'ADU-17'!$B$7</f>
        <v>Néant</v>
      </c>
      <c r="J49" s="134">
        <f>'ADU-17'!$B$18</f>
        <v>0</v>
      </c>
      <c r="K49" s="134">
        <f>'ADU-17'!$B$21</f>
        <v>3365.2173913043475</v>
      </c>
      <c r="L49" s="134">
        <f>'ADU-17'!$B$22</f>
        <v>0</v>
      </c>
      <c r="M49" s="135">
        <f>'ADU-17'!$B$24</f>
        <v>2.9715762273901811</v>
      </c>
      <c r="N49" s="135">
        <f>'ADU-17'!$B$19/1000</f>
        <v>0</v>
      </c>
      <c r="O49" s="136"/>
      <c r="P49" s="137" t="str">
        <f>'ADU-17'!$B$5</f>
        <v>A faire</v>
      </c>
      <c r="Q49" s="140">
        <f>'ADU-17'!$B$16</f>
        <v>2030</v>
      </c>
      <c r="R49" s="283" t="str">
        <f t="shared" si="46"/>
        <v/>
      </c>
      <c r="S49" s="138">
        <f t="shared" si="9"/>
        <v>0</v>
      </c>
      <c r="T49" s="138">
        <f t="shared" si="10"/>
        <v>0</v>
      </c>
      <c r="U49" s="138">
        <f t="shared" si="11"/>
        <v>0</v>
      </c>
      <c r="V49" s="138">
        <f t="shared" si="12"/>
        <v>0</v>
      </c>
      <c r="W49" s="138">
        <f t="shared" si="13"/>
        <v>0</v>
      </c>
      <c r="X49" s="138">
        <f t="shared" si="14"/>
        <v>0</v>
      </c>
      <c r="Y49" s="138">
        <f t="shared" si="15"/>
        <v>0</v>
      </c>
      <c r="AA49" s="287">
        <f>IF(('Synthèse PER'!P49="A faire")*AND('Synthèse PER'!F49="Agriculture"),'Synthèse PER'!H49,0)</f>
        <v>0</v>
      </c>
      <c r="AB49" s="287">
        <f>IF(('Synthèse PER'!P49="A faire")*AND('Synthèse PER'!F49="Industrie"),'Synthèse PER'!H49,0)</f>
        <v>0</v>
      </c>
      <c r="AC49" s="287">
        <f>IF(('Synthèse PER'!P49="A faire")*AND('Synthèse PER'!F49="Citoyen"),'Synthèse PER'!H49,0)</f>
        <v>55000</v>
      </c>
      <c r="AD49" s="287">
        <f>IF(('Synthèse PER'!P49="A faire")*AND('Synthèse PER'!F49="IDELUX"),'Synthèse PER'!H49,0)</f>
        <v>0</v>
      </c>
      <c r="AE49" s="290">
        <f>IF(('Synthèse PER'!P49="A faire")*AND('Synthèse PER'!F49="AC MESSANCY"),'Synthèse PER'!H49,0)</f>
        <v>0</v>
      </c>
      <c r="AF49" s="287">
        <f>IF(('Synthèse PER'!P49="A faire")*AND('Synthèse PER'!F49="Tertiaire"),'Synthèse PER'!H49,0)</f>
        <v>0</v>
      </c>
      <c r="AG49" s="288"/>
      <c r="AH49" s="290">
        <f>IF(('Synthèse PER'!P49="A faire")*AND('Synthèse PER'!F49="Agriculture"),'Synthèse PER'!J49,0)</f>
        <v>0</v>
      </c>
      <c r="AI49" s="290">
        <f>IF(('Synthèse PER'!P49="A faire")*AND('Synthèse PER'!F49="Industrie"),'Synthèse PER'!J49,0)</f>
        <v>0</v>
      </c>
      <c r="AJ49" s="290">
        <f>IF(('Synthèse PER'!P49="A faire")*AND('Synthèse PER'!F49="Citoyen"),'Synthèse PER'!J49,0)</f>
        <v>0</v>
      </c>
      <c r="AK49" s="290">
        <f>IF(('Synthèse PER'!P49="A faire")*AND('Synthèse PER'!F49="IDELUX"),'Synthèse PER'!J49,0)</f>
        <v>0</v>
      </c>
      <c r="AL49" s="290">
        <f>IF(('Synthèse PER'!P49="A faire")*AND('Synthèse PER'!F49="AC MESSANCY"),'Synthèse PER'!J49,0)</f>
        <v>0</v>
      </c>
      <c r="AM49" s="290">
        <f>IF(('Synthèse PER'!P49="A faire")*AND('Synthèse PER'!F49="Tertiaire"),'Synthèse PER'!J49,0)</f>
        <v>0</v>
      </c>
      <c r="AN49" s="288"/>
      <c r="AO49" s="290">
        <f>IF(('Synthèse PER'!P49="A faire")*AND('Synthèse PER'!E49="Territoire"),'Synthèse PER'!H49,0)</f>
        <v>0</v>
      </c>
      <c r="AP49" s="290">
        <f>IF(('Synthèse PER'!P49="A faire")*AND('Synthèse PER'!E49="Agriculture"),'Synthèse PER'!H49,0)</f>
        <v>0</v>
      </c>
      <c r="AQ49" s="290">
        <f>IF(('Synthèse PER'!P49="A faire")*AND('Synthèse PER'!E49="Industrie"),'Synthèse PER'!H49,0)</f>
        <v>0</v>
      </c>
      <c r="AR49" s="290">
        <f>IF(('Synthèse PER'!P49="A faire")*AND('Synthèse PER'!E49="Logement"),'Synthèse PER'!H49,0)</f>
        <v>55000</v>
      </c>
      <c r="AS49" s="290">
        <f>IF(('Synthèse PER'!P49="A faire")*AND('Synthèse PER'!E49="Tertiaire"),'Synthèse PER'!H49,0)</f>
        <v>0</v>
      </c>
      <c r="AT49" s="290">
        <f>IF(('Synthèse PER'!P49="A faire")*AND('Synthèse PER'!E49="Transport"),'Synthèse PER'!H49,0)</f>
        <v>0</v>
      </c>
      <c r="AU49" s="290">
        <f>IF(('Synthèse PER'!P49="A faire")*AND('Synthèse PER'!E49="Communal"),'Synthèse PER'!H49,0)</f>
        <v>0</v>
      </c>
      <c r="AV49" s="288"/>
      <c r="AW49" s="290">
        <f>IF(('Synthèse PER'!P49="A faire")*AND('Synthèse PER'!E49="Territoire"),'Synthèse PER'!J49,0)</f>
        <v>0</v>
      </c>
      <c r="AX49" s="290">
        <f>IF(('Synthèse PER'!P49="A faire")*AND('Synthèse PER'!E49="Agriculture"),'Synthèse PER'!J49,0)</f>
        <v>0</v>
      </c>
      <c r="AY49" s="290">
        <f>IF(('Synthèse PER'!P49="A faire")*AND('Synthèse PER'!E49="Industrie"),'Synthèse PER'!J49,0)</f>
        <v>0</v>
      </c>
      <c r="AZ49" s="290">
        <f>IF(('Synthèse PER'!P49="A faire")*AND('Synthèse PER'!E49="Logement"),'Synthèse PER'!J49,0)</f>
        <v>0</v>
      </c>
      <c r="BA49" s="290">
        <f>IF(('Synthèse PER'!P49="A faire")*AND('Synthèse PER'!E49="Tertiaire"),'Synthèse PER'!J49,0)</f>
        <v>0</v>
      </c>
      <c r="BB49" s="290">
        <f>IF(('Synthèse PER'!P49="A faire")*AND('Synthèse PER'!E49="Transport"),'Synthèse PER'!J49,0)</f>
        <v>0</v>
      </c>
      <c r="BC49" s="290">
        <f>IF(('Synthèse PER'!P49="A faire")*AND('Synthèse PER'!E49="Communal"),'Synthèse PER'!J49,0)</f>
        <v>0</v>
      </c>
      <c r="BD49" s="288"/>
      <c r="BE49" s="290">
        <f>IF(('Synthèse PER'!P49="A faire")*AND('Synthèse PER'!E49="Territoire"),'Synthèse PER'!K49,0)</f>
        <v>0</v>
      </c>
      <c r="BF49" s="290">
        <f>IF(('Synthèse PER'!P49="A faire")*AND('Synthèse PER'!E49="Agriculture"),'Synthèse PER'!K49,0)</f>
        <v>0</v>
      </c>
      <c r="BG49" s="290">
        <f>IF(('Synthèse PER'!P49="A faire")*AND('Synthèse PER'!E49="Industrie"),'Synthèse PER'!K49,0)</f>
        <v>0</v>
      </c>
      <c r="BH49" s="290">
        <f>IF(('Synthèse PER'!P49="A faire")*AND('Synthèse PER'!E49="Logement"),'Synthèse PER'!K49,0)</f>
        <v>3365.2173913043475</v>
      </c>
      <c r="BI49" s="290">
        <f>IF(('Synthèse PER'!P49="A faire")*AND('Synthèse PER'!E49="Tertiaire"),'Synthèse PER'!K49,0)</f>
        <v>0</v>
      </c>
      <c r="BJ49" s="290">
        <f>IF(('Synthèse PER'!P49="A faire")*AND('Synthèse PER'!E49="Transport"),'Synthèse PER'!K49,0)</f>
        <v>0</v>
      </c>
      <c r="BK49" s="290">
        <f>IF(('Synthèse PER'!P49="A faire")*AND('Synthèse PER'!E49="Communal"),'Synthèse PER'!K49,0)</f>
        <v>0</v>
      </c>
      <c r="BL49" s="288"/>
      <c r="BM49" s="290">
        <f>IF(('Synthèse PER'!P49="A faire")*AND('Synthèse PER'!E49="Territoire"),'Synthèse PER'!L49,0)</f>
        <v>0</v>
      </c>
      <c r="BN49" s="290">
        <f>IF(('Synthèse PER'!P49="A faire")*AND('Synthèse PER'!E49="Agriculture"),'Synthèse PER'!L49,0)</f>
        <v>0</v>
      </c>
      <c r="BO49" s="290">
        <f>IF(('Synthèse PER'!P49="A faire")*AND('Synthèse PER'!E49="Industrie"),'Synthèse PER'!L49,0)</f>
        <v>0</v>
      </c>
      <c r="BP49" s="290">
        <f>IF(('Synthèse PER'!P49="A faire")*AND('Synthèse PER'!E49="Logement"),'Synthèse PER'!L49,0)</f>
        <v>0</v>
      </c>
      <c r="BQ49" s="290">
        <f>IF(('Synthèse PER'!P49="A faire")*AND('Synthèse PER'!E49="Tertiaire"),'Synthèse PER'!L49,0)</f>
        <v>0</v>
      </c>
      <c r="BR49" s="290">
        <f>IF(('Synthèse PER'!P49="A faire")*AND('Synthèse PER'!E49="Transport"),'Synthèse PER'!L49,0)</f>
        <v>0</v>
      </c>
      <c r="BS49" s="290">
        <f>IF(('Synthèse PER'!P49="A faire")*AND('Synthèse PER'!E49="Communal"),'Synthèse PER'!L49,0)</f>
        <v>0</v>
      </c>
      <c r="BT49" s="290">
        <f>IF(('Synthèse PER'!Q49="A faire")*AND('Synthèse PER'!F49="Communal"),'Synthèse PER'!M49,0)</f>
        <v>0</v>
      </c>
    </row>
    <row r="50" spans="1:72" s="139" customFormat="1" x14ac:dyDescent="0.25">
      <c r="A50" s="369" t="s">
        <v>92</v>
      </c>
      <c r="B50" s="414" t="str">
        <f>'ADU-18'!B$3:E$3</f>
        <v>Performance énergétique</v>
      </c>
      <c r="C50" s="419" t="str">
        <f>'ADU-18'!$B$8</f>
        <v>Logement</v>
      </c>
      <c r="D50" s="133" t="str">
        <f>'ADU-18'!$B$9</f>
        <v>Pompes à chaleur A-E</v>
      </c>
      <c r="E50" s="133" t="str">
        <f>'ADU-18'!$B$4</f>
        <v>Logement</v>
      </c>
      <c r="F50" s="133" t="str">
        <f>'ADU-18'!$B$12</f>
        <v>Citoyen</v>
      </c>
      <c r="G50" s="133" t="str">
        <f>'ADU-18'!$B$6</f>
        <v>ECOPÄCK</v>
      </c>
      <c r="H50" s="134">
        <f>'ADU-18'!$B$17</f>
        <v>400000</v>
      </c>
      <c r="I50" s="133" t="str">
        <f>'ADU-17'!$B$7</f>
        <v>Néant</v>
      </c>
      <c r="J50" s="134">
        <f>'ADU-18'!$B$18</f>
        <v>0</v>
      </c>
      <c r="K50" s="134">
        <f>'ADU-18'!$B$21</f>
        <v>17299.771167048053</v>
      </c>
      <c r="L50" s="134">
        <f>'ADU-18'!$B$22</f>
        <v>0</v>
      </c>
      <c r="M50" s="135">
        <f>'ADU-18'!$B$24</f>
        <v>10.115740740740742</v>
      </c>
      <c r="N50" s="135">
        <f>'ADU-18'!$B$19/1000</f>
        <v>0</v>
      </c>
      <c r="O50" s="136"/>
      <c r="P50" s="137" t="str">
        <f>'ADU-18'!$B$5</f>
        <v>A faire</v>
      </c>
      <c r="Q50" s="140">
        <f>'ADU-18'!$B$16</f>
        <v>2030</v>
      </c>
      <c r="R50" s="283" t="str">
        <f t="shared" si="46"/>
        <v/>
      </c>
      <c r="S50" s="138">
        <f t="shared" si="9"/>
        <v>0</v>
      </c>
      <c r="T50" s="138">
        <f t="shared" si="10"/>
        <v>0</v>
      </c>
      <c r="U50" s="138">
        <f t="shared" si="11"/>
        <v>0</v>
      </c>
      <c r="V50" s="138">
        <f t="shared" si="12"/>
        <v>0</v>
      </c>
      <c r="W50" s="138">
        <f t="shared" si="13"/>
        <v>0</v>
      </c>
      <c r="X50" s="138">
        <f t="shared" si="14"/>
        <v>0</v>
      </c>
      <c r="Y50" s="138">
        <f t="shared" si="15"/>
        <v>0</v>
      </c>
      <c r="AA50" s="287">
        <f>IF(('Synthèse PER'!P50="A faire")*AND('Synthèse PER'!F50="Agriculture"),'Synthèse PER'!H50,0)</f>
        <v>0</v>
      </c>
      <c r="AB50" s="287">
        <f>IF(('Synthèse PER'!P50="A faire")*AND('Synthèse PER'!F50="Industrie"),'Synthèse PER'!H50,0)</f>
        <v>0</v>
      </c>
      <c r="AC50" s="287">
        <f>IF(('Synthèse PER'!P50="A faire")*AND('Synthèse PER'!F50="Citoyen"),'Synthèse PER'!H50,0)</f>
        <v>400000</v>
      </c>
      <c r="AD50" s="287">
        <f>IF(('Synthèse PER'!P50="A faire")*AND('Synthèse PER'!F50="IDELUX"),'Synthèse PER'!H50,0)</f>
        <v>0</v>
      </c>
      <c r="AE50" s="290">
        <f>IF(('Synthèse PER'!P50="A faire")*AND('Synthèse PER'!F50="AC MESSANCY"),'Synthèse PER'!H50,0)</f>
        <v>0</v>
      </c>
      <c r="AF50" s="287">
        <f>IF(('Synthèse PER'!P50="A faire")*AND('Synthèse PER'!F50="Tertiaire"),'Synthèse PER'!H50,0)</f>
        <v>0</v>
      </c>
      <c r="AG50" s="288"/>
      <c r="AH50" s="290">
        <f>IF(('Synthèse PER'!P50="A faire")*AND('Synthèse PER'!F50="Agriculture"),'Synthèse PER'!J50,0)</f>
        <v>0</v>
      </c>
      <c r="AI50" s="290">
        <f>IF(('Synthèse PER'!P50="A faire")*AND('Synthèse PER'!F50="Industrie"),'Synthèse PER'!J50,0)</f>
        <v>0</v>
      </c>
      <c r="AJ50" s="290">
        <f>IF(('Synthèse PER'!P50="A faire")*AND('Synthèse PER'!F50="Citoyen"),'Synthèse PER'!J50,0)</f>
        <v>0</v>
      </c>
      <c r="AK50" s="290">
        <f>IF(('Synthèse PER'!P50="A faire")*AND('Synthèse PER'!F50="IDELUX"),'Synthèse PER'!J50,0)</f>
        <v>0</v>
      </c>
      <c r="AL50" s="290">
        <f>IF(('Synthèse PER'!P50="A faire")*AND('Synthèse PER'!F50="AC MESSANCY"),'Synthèse PER'!J50,0)</f>
        <v>0</v>
      </c>
      <c r="AM50" s="290">
        <f>IF(('Synthèse PER'!P50="A faire")*AND('Synthèse PER'!F50="Tertiaire"),'Synthèse PER'!J50,0)</f>
        <v>0</v>
      </c>
      <c r="AN50" s="288"/>
      <c r="AO50" s="290">
        <f>IF(('Synthèse PER'!P50="A faire")*AND('Synthèse PER'!E50="Territoire"),'Synthèse PER'!H50,0)</f>
        <v>0</v>
      </c>
      <c r="AP50" s="290">
        <f>IF(('Synthèse PER'!P50="A faire")*AND('Synthèse PER'!E50="Agriculture"),'Synthèse PER'!H50,0)</f>
        <v>0</v>
      </c>
      <c r="AQ50" s="290">
        <f>IF(('Synthèse PER'!P50="A faire")*AND('Synthèse PER'!E50="Industrie"),'Synthèse PER'!H50,0)</f>
        <v>0</v>
      </c>
      <c r="AR50" s="290">
        <f>IF(('Synthèse PER'!P50="A faire")*AND('Synthèse PER'!E50="Logement"),'Synthèse PER'!H50,0)</f>
        <v>400000</v>
      </c>
      <c r="AS50" s="290">
        <f>IF(('Synthèse PER'!P50="A faire")*AND('Synthèse PER'!E50="Tertiaire"),'Synthèse PER'!H50,0)</f>
        <v>0</v>
      </c>
      <c r="AT50" s="290">
        <f>IF(('Synthèse PER'!P50="A faire")*AND('Synthèse PER'!E50="Transport"),'Synthèse PER'!H50,0)</f>
        <v>0</v>
      </c>
      <c r="AU50" s="290">
        <f>IF(('Synthèse PER'!P50="A faire")*AND('Synthèse PER'!E50="Communal"),'Synthèse PER'!H50,0)</f>
        <v>0</v>
      </c>
      <c r="AV50" s="288"/>
      <c r="AW50" s="290">
        <f>IF(('Synthèse PER'!P50="A faire")*AND('Synthèse PER'!E50="Territoire"),'Synthèse PER'!J50,0)</f>
        <v>0</v>
      </c>
      <c r="AX50" s="290">
        <f>IF(('Synthèse PER'!P50="A faire")*AND('Synthèse PER'!E50="Agriculture"),'Synthèse PER'!J50,0)</f>
        <v>0</v>
      </c>
      <c r="AY50" s="290">
        <f>IF(('Synthèse PER'!P50="A faire")*AND('Synthèse PER'!E50="Industrie"),'Synthèse PER'!J50,0)</f>
        <v>0</v>
      </c>
      <c r="AZ50" s="290">
        <f>IF(('Synthèse PER'!P50="A faire")*AND('Synthèse PER'!E50="Logement"),'Synthèse PER'!J50,0)</f>
        <v>0</v>
      </c>
      <c r="BA50" s="290">
        <f>IF(('Synthèse PER'!P50="A faire")*AND('Synthèse PER'!E50="Tertiaire"),'Synthèse PER'!J50,0)</f>
        <v>0</v>
      </c>
      <c r="BB50" s="290">
        <f>IF(('Synthèse PER'!P50="A faire")*AND('Synthèse PER'!E50="Transport"),'Synthèse PER'!J50,0)</f>
        <v>0</v>
      </c>
      <c r="BC50" s="290">
        <f>IF(('Synthèse PER'!P50="A faire")*AND('Synthèse PER'!E50="Communal"),'Synthèse PER'!J50,0)</f>
        <v>0</v>
      </c>
      <c r="BD50" s="288"/>
      <c r="BE50" s="290">
        <f>IF(('Synthèse PER'!P50="A faire")*AND('Synthèse PER'!E50="Territoire"),'Synthèse PER'!K50,0)</f>
        <v>0</v>
      </c>
      <c r="BF50" s="290">
        <f>IF(('Synthèse PER'!P50="A faire")*AND('Synthèse PER'!E50="Agriculture"),'Synthèse PER'!K50,0)</f>
        <v>0</v>
      </c>
      <c r="BG50" s="290">
        <f>IF(('Synthèse PER'!P50="A faire")*AND('Synthèse PER'!E50="Industrie"),'Synthèse PER'!K50,0)</f>
        <v>0</v>
      </c>
      <c r="BH50" s="290">
        <f>IF(('Synthèse PER'!P50="A faire")*AND('Synthèse PER'!E50="Logement"),'Synthèse PER'!K50,0)</f>
        <v>17299.771167048053</v>
      </c>
      <c r="BI50" s="290">
        <f>IF(('Synthèse PER'!P50="A faire")*AND('Synthèse PER'!E50="Tertiaire"),'Synthèse PER'!K50,0)</f>
        <v>0</v>
      </c>
      <c r="BJ50" s="290">
        <f>IF(('Synthèse PER'!P50="A faire")*AND('Synthèse PER'!E50="Transport"),'Synthèse PER'!K50,0)</f>
        <v>0</v>
      </c>
      <c r="BK50" s="290">
        <f>IF(('Synthèse PER'!P50="A faire")*AND('Synthèse PER'!E50="Communal"),'Synthèse PER'!K50,0)</f>
        <v>0</v>
      </c>
      <c r="BL50" s="288"/>
      <c r="BM50" s="290">
        <f>IF(('Synthèse PER'!P50="A faire")*AND('Synthèse PER'!E50="Territoire"),'Synthèse PER'!L50,0)</f>
        <v>0</v>
      </c>
      <c r="BN50" s="290">
        <f>IF(('Synthèse PER'!P50="A faire")*AND('Synthèse PER'!E50="Agriculture"),'Synthèse PER'!L50,0)</f>
        <v>0</v>
      </c>
      <c r="BO50" s="290">
        <f>IF(('Synthèse PER'!P50="A faire")*AND('Synthèse PER'!E50="Industrie"),'Synthèse PER'!L50,0)</f>
        <v>0</v>
      </c>
      <c r="BP50" s="290">
        <f>IF(('Synthèse PER'!P50="A faire")*AND('Synthèse PER'!E50="Logement"),'Synthèse PER'!L50,0)</f>
        <v>0</v>
      </c>
      <c r="BQ50" s="290">
        <f>IF(('Synthèse PER'!P50="A faire")*AND('Synthèse PER'!E50="Tertiaire"),'Synthèse PER'!L50,0)</f>
        <v>0</v>
      </c>
      <c r="BR50" s="290">
        <f>IF(('Synthèse PER'!P50="A faire")*AND('Synthèse PER'!E50="Transport"),'Synthèse PER'!L50,0)</f>
        <v>0</v>
      </c>
      <c r="BS50" s="290">
        <f>IF(('Synthèse PER'!P50="A faire")*AND('Synthèse PER'!E50="Communal"),'Synthèse PER'!L50,0)</f>
        <v>0</v>
      </c>
      <c r="BT50" s="290">
        <f>IF(('Synthèse PER'!Q50="A faire")*AND('Synthèse PER'!F50="Communal"),'Synthèse PER'!M50,0)</f>
        <v>0</v>
      </c>
    </row>
    <row r="51" spans="1:72" s="139" customFormat="1" x14ac:dyDescent="0.25">
      <c r="A51" s="369" t="s">
        <v>93</v>
      </c>
      <c r="B51" s="414" t="str">
        <f>'ADU-19'!B$3:E$3</f>
        <v>Performance énergétique</v>
      </c>
      <c r="C51" s="419" t="str">
        <f>'ADU-19'!$B$8</f>
        <v>Logement</v>
      </c>
      <c r="D51" s="133" t="str">
        <f>'ADU-19'!$B$9</f>
        <v>Pompes à chaleur A-E pour ECS</v>
      </c>
      <c r="E51" s="133" t="str">
        <f>'ADU-19'!$B$4</f>
        <v>Logement</v>
      </c>
      <c r="F51" s="133" t="str">
        <f>'ADU-19'!$B$12</f>
        <v>Citoyen</v>
      </c>
      <c r="G51" s="133" t="str">
        <f>'ADU-19'!$B$6</f>
        <v>ECOPÄCK</v>
      </c>
      <c r="H51" s="134">
        <f>'ADU-19'!$B$17</f>
        <v>700000</v>
      </c>
      <c r="I51" s="133" t="str">
        <f>'ADU-19'!$B$7</f>
        <v>Primes RW</v>
      </c>
      <c r="J51" s="134">
        <f>'ADU-19'!$B$18</f>
        <v>80000</v>
      </c>
      <c r="K51" s="134">
        <f>'ADU-19'!$B$21</f>
        <v>24796.33867276887</v>
      </c>
      <c r="L51" s="134">
        <f>'ADU-19'!$B$22</f>
        <v>0</v>
      </c>
      <c r="M51" s="135">
        <f>'ADU-19'!$B$24</f>
        <v>6.855850867478777</v>
      </c>
      <c r="N51" s="135">
        <f>'ADU-19'!$B$19/1000</f>
        <v>0</v>
      </c>
      <c r="O51" s="136"/>
      <c r="P51" s="137" t="str">
        <f>'ADU-19'!$B$5</f>
        <v>A faire</v>
      </c>
      <c r="Q51" s="140">
        <f>'ADU-19'!$B$16</f>
        <v>2030</v>
      </c>
      <c r="R51" s="283" t="str">
        <f t="shared" si="46"/>
        <v/>
      </c>
      <c r="S51" s="138">
        <f t="shared" si="9"/>
        <v>0</v>
      </c>
      <c r="T51" s="138">
        <f t="shared" si="10"/>
        <v>0</v>
      </c>
      <c r="U51" s="138">
        <f t="shared" si="11"/>
        <v>0</v>
      </c>
      <c r="V51" s="138">
        <f t="shared" si="12"/>
        <v>0</v>
      </c>
      <c r="W51" s="138">
        <f t="shared" si="13"/>
        <v>0</v>
      </c>
      <c r="X51" s="138">
        <f t="shared" si="14"/>
        <v>0</v>
      </c>
      <c r="Y51" s="138">
        <f t="shared" si="15"/>
        <v>0</v>
      </c>
      <c r="AA51" s="287">
        <f>IF(('Synthèse PER'!P51="A faire")*AND('Synthèse PER'!F51="Agriculture"),'Synthèse PER'!H51,0)</f>
        <v>0</v>
      </c>
      <c r="AB51" s="287">
        <f>IF(('Synthèse PER'!P51="A faire")*AND('Synthèse PER'!F51="Industrie"),'Synthèse PER'!H51,0)</f>
        <v>0</v>
      </c>
      <c r="AC51" s="287">
        <f>IF(('Synthèse PER'!P51="A faire")*AND('Synthèse PER'!F51="Citoyen"),'Synthèse PER'!H51,0)</f>
        <v>700000</v>
      </c>
      <c r="AD51" s="287">
        <f>IF(('Synthèse PER'!P51="A faire")*AND('Synthèse PER'!F51="IDELUX"),'Synthèse PER'!H51,0)</f>
        <v>0</v>
      </c>
      <c r="AE51" s="290">
        <f>IF(('Synthèse PER'!P51="A faire")*AND('Synthèse PER'!F51="AC MESSANCY"),'Synthèse PER'!H51,0)</f>
        <v>0</v>
      </c>
      <c r="AF51" s="287">
        <f>IF(('Synthèse PER'!P51="A faire")*AND('Synthèse PER'!F51="Tertiaire"),'Synthèse PER'!H51,0)</f>
        <v>0</v>
      </c>
      <c r="AG51" s="288"/>
      <c r="AH51" s="290">
        <f>IF(('Synthèse PER'!P51="A faire")*AND('Synthèse PER'!F51="Agriculture"),'Synthèse PER'!J51,0)</f>
        <v>0</v>
      </c>
      <c r="AI51" s="290">
        <f>IF(('Synthèse PER'!P51="A faire")*AND('Synthèse PER'!F51="Industrie"),'Synthèse PER'!J51,0)</f>
        <v>0</v>
      </c>
      <c r="AJ51" s="290">
        <f>IF(('Synthèse PER'!P51="A faire")*AND('Synthèse PER'!F51="Citoyen"),'Synthèse PER'!J51,0)</f>
        <v>80000</v>
      </c>
      <c r="AK51" s="290">
        <f>IF(('Synthèse PER'!P51="A faire")*AND('Synthèse PER'!F51="IDELUX"),'Synthèse PER'!J51,0)</f>
        <v>0</v>
      </c>
      <c r="AL51" s="290">
        <f>IF(('Synthèse PER'!P51="A faire")*AND('Synthèse PER'!F51="AC MESSANCY"),'Synthèse PER'!J51,0)</f>
        <v>0</v>
      </c>
      <c r="AM51" s="290">
        <f>IF(('Synthèse PER'!P51="A faire")*AND('Synthèse PER'!F51="Tertiaire"),'Synthèse PER'!J51,0)</f>
        <v>0</v>
      </c>
      <c r="AN51" s="288"/>
      <c r="AO51" s="290">
        <f>IF(('Synthèse PER'!P51="A faire")*AND('Synthèse PER'!E51="Territoire"),'Synthèse PER'!H51,0)</f>
        <v>0</v>
      </c>
      <c r="AP51" s="290">
        <f>IF(('Synthèse PER'!P51="A faire")*AND('Synthèse PER'!E51="Agriculture"),'Synthèse PER'!H51,0)</f>
        <v>0</v>
      </c>
      <c r="AQ51" s="290">
        <f>IF(('Synthèse PER'!P51="A faire")*AND('Synthèse PER'!E51="Industrie"),'Synthèse PER'!H51,0)</f>
        <v>0</v>
      </c>
      <c r="AR51" s="290">
        <f>IF(('Synthèse PER'!P51="A faire")*AND('Synthèse PER'!E51="Logement"),'Synthèse PER'!H51,0)</f>
        <v>700000</v>
      </c>
      <c r="AS51" s="290">
        <f>IF(('Synthèse PER'!P51="A faire")*AND('Synthèse PER'!E51="Tertiaire"),'Synthèse PER'!H51,0)</f>
        <v>0</v>
      </c>
      <c r="AT51" s="290">
        <f>IF(('Synthèse PER'!P51="A faire")*AND('Synthèse PER'!E51="Transport"),'Synthèse PER'!H51,0)</f>
        <v>0</v>
      </c>
      <c r="AU51" s="290">
        <f>IF(('Synthèse PER'!P51="A faire")*AND('Synthèse PER'!E51="Communal"),'Synthèse PER'!H51,0)</f>
        <v>0</v>
      </c>
      <c r="AV51" s="288"/>
      <c r="AW51" s="290">
        <f>IF(('Synthèse PER'!P51="A faire")*AND('Synthèse PER'!E51="Territoire"),'Synthèse PER'!J51,0)</f>
        <v>0</v>
      </c>
      <c r="AX51" s="290">
        <f>IF(('Synthèse PER'!P51="A faire")*AND('Synthèse PER'!E51="Agriculture"),'Synthèse PER'!J51,0)</f>
        <v>0</v>
      </c>
      <c r="AY51" s="290">
        <f>IF(('Synthèse PER'!P51="A faire")*AND('Synthèse PER'!E51="Industrie"),'Synthèse PER'!J51,0)</f>
        <v>0</v>
      </c>
      <c r="AZ51" s="290">
        <f>IF(('Synthèse PER'!P51="A faire")*AND('Synthèse PER'!E51="Logement"),'Synthèse PER'!J51,0)</f>
        <v>80000</v>
      </c>
      <c r="BA51" s="290">
        <f>IF(('Synthèse PER'!P51="A faire")*AND('Synthèse PER'!E51="Tertiaire"),'Synthèse PER'!J51,0)</f>
        <v>0</v>
      </c>
      <c r="BB51" s="290">
        <f>IF(('Synthèse PER'!P51="A faire")*AND('Synthèse PER'!E51="Transport"),'Synthèse PER'!J51,0)</f>
        <v>0</v>
      </c>
      <c r="BC51" s="290">
        <f>IF(('Synthèse PER'!P51="A faire")*AND('Synthèse PER'!E51="Communal"),'Synthèse PER'!J51,0)</f>
        <v>0</v>
      </c>
      <c r="BD51" s="288"/>
      <c r="BE51" s="290">
        <f>IF(('Synthèse PER'!P51="A faire")*AND('Synthèse PER'!E51="Territoire"),'Synthèse PER'!K51,0)</f>
        <v>0</v>
      </c>
      <c r="BF51" s="290">
        <f>IF(('Synthèse PER'!P51="A faire")*AND('Synthèse PER'!E51="Agriculture"),'Synthèse PER'!K51,0)</f>
        <v>0</v>
      </c>
      <c r="BG51" s="290">
        <f>IF(('Synthèse PER'!P51="A faire")*AND('Synthèse PER'!E51="Industrie"),'Synthèse PER'!K51,0)</f>
        <v>0</v>
      </c>
      <c r="BH51" s="290">
        <f>IF(('Synthèse PER'!P51="A faire")*AND('Synthèse PER'!E51="Logement"),'Synthèse PER'!K51,0)</f>
        <v>24796.33867276887</v>
      </c>
      <c r="BI51" s="290">
        <f>IF(('Synthèse PER'!P51="A faire")*AND('Synthèse PER'!E51="Tertiaire"),'Synthèse PER'!K51,0)</f>
        <v>0</v>
      </c>
      <c r="BJ51" s="290">
        <f>IF(('Synthèse PER'!P51="A faire")*AND('Synthèse PER'!E51="Transport"),'Synthèse PER'!K51,0)</f>
        <v>0</v>
      </c>
      <c r="BK51" s="290">
        <f>IF(('Synthèse PER'!P51="A faire")*AND('Synthèse PER'!E51="Communal"),'Synthèse PER'!K51,0)</f>
        <v>0</v>
      </c>
      <c r="BL51" s="288"/>
      <c r="BM51" s="290">
        <f>IF(('Synthèse PER'!P51="A faire")*AND('Synthèse PER'!E51="Territoire"),'Synthèse PER'!L51,0)</f>
        <v>0</v>
      </c>
      <c r="BN51" s="290">
        <f>IF(('Synthèse PER'!P51="A faire")*AND('Synthèse PER'!E51="Agriculture"),'Synthèse PER'!L51,0)</f>
        <v>0</v>
      </c>
      <c r="BO51" s="290">
        <f>IF(('Synthèse PER'!P51="A faire")*AND('Synthèse PER'!E51="Industrie"),'Synthèse PER'!L51,0)</f>
        <v>0</v>
      </c>
      <c r="BP51" s="290">
        <f>IF(('Synthèse PER'!P51="A faire")*AND('Synthèse PER'!E51="Logement"),'Synthèse PER'!L51,0)</f>
        <v>0</v>
      </c>
      <c r="BQ51" s="290">
        <f>IF(('Synthèse PER'!P51="A faire")*AND('Synthèse PER'!E51="Tertiaire"),'Synthèse PER'!L51,0)</f>
        <v>0</v>
      </c>
      <c r="BR51" s="290">
        <f>IF(('Synthèse PER'!P51="A faire")*AND('Synthèse PER'!E51="Transport"),'Synthèse PER'!L51,0)</f>
        <v>0</v>
      </c>
      <c r="BS51" s="290">
        <f>IF(('Synthèse PER'!P51="A faire")*AND('Synthèse PER'!E51="Communal"),'Synthèse PER'!L51,0)</f>
        <v>0</v>
      </c>
      <c r="BT51" s="290">
        <f>IF(('Synthèse PER'!Q51="A faire")*AND('Synthèse PER'!F51="Communal"),'Synthèse PER'!M51,0)</f>
        <v>0</v>
      </c>
    </row>
    <row r="52" spans="1:72" s="139" customFormat="1" x14ac:dyDescent="0.25">
      <c r="A52" s="369" t="s">
        <v>94</v>
      </c>
      <c r="B52" s="414" t="str">
        <f>'ADU-20'!B$3:E$3</f>
        <v>Performance énergétique</v>
      </c>
      <c r="C52" s="419" t="str">
        <f>'ADU-20'!$B$8</f>
        <v>Bâtiments communaux</v>
      </c>
      <c r="D52" s="133" t="str">
        <f>'ADU-20'!$B$9</f>
        <v xml:space="preserve">Isolation </v>
      </c>
      <c r="E52" s="133" t="str">
        <f>'ADU-20'!$B$4</f>
        <v>Communal</v>
      </c>
      <c r="F52" s="133" t="str">
        <f>'ADU-20'!$B$12</f>
        <v>AC MESSANCY</v>
      </c>
      <c r="G52" s="133" t="str">
        <f>'ADU-20'!$B$6</f>
        <v>Prêt bancaire</v>
      </c>
      <c r="H52" s="134">
        <f>'ADU-20'!$B$17</f>
        <v>400000</v>
      </c>
      <c r="I52" s="133" t="str">
        <f>'ADU-20'!$B$7</f>
        <v>Subs RW</v>
      </c>
      <c r="J52" s="134">
        <f>'ADU-20'!$B$18</f>
        <v>240000</v>
      </c>
      <c r="K52" s="134">
        <f>'ADU-20'!$B$21</f>
        <v>8887.5499999999993</v>
      </c>
      <c r="L52" s="134">
        <f>'ADU-20'!$B$22</f>
        <v>0</v>
      </c>
      <c r="M52" s="135">
        <f>'ADU-20'!$B$24</f>
        <v>18.002711658443555</v>
      </c>
      <c r="N52" s="135">
        <f>'ADU-20'!$B$19/1000</f>
        <v>126.965</v>
      </c>
      <c r="O52" s="136"/>
      <c r="P52" s="137" t="str">
        <f>'ADU-21'!$B$5</f>
        <v>A faire</v>
      </c>
      <c r="Q52" s="140">
        <f>'ADU-21'!$B$16</f>
        <v>2030</v>
      </c>
      <c r="R52" s="283" t="str">
        <f t="shared" si="46"/>
        <v/>
      </c>
      <c r="S52" s="138">
        <f t="shared" si="9"/>
        <v>0</v>
      </c>
      <c r="T52" s="138">
        <f t="shared" si="10"/>
        <v>0</v>
      </c>
      <c r="U52" s="138">
        <f t="shared" si="11"/>
        <v>0</v>
      </c>
      <c r="V52" s="138">
        <f t="shared" si="12"/>
        <v>0</v>
      </c>
      <c r="W52" s="138">
        <f t="shared" si="13"/>
        <v>0</v>
      </c>
      <c r="X52" s="138">
        <f t="shared" si="14"/>
        <v>0</v>
      </c>
      <c r="Y52" s="138">
        <f t="shared" si="15"/>
        <v>0</v>
      </c>
      <c r="AA52" s="287">
        <f>IF(('Synthèse PER'!P52="A faire")*AND('Synthèse PER'!F52="Agriculture"),'Synthèse PER'!H52,0)</f>
        <v>0</v>
      </c>
      <c r="AB52" s="287">
        <f>IF(('Synthèse PER'!P52="A faire")*AND('Synthèse PER'!F52="Industrie"),'Synthèse PER'!H52,0)</f>
        <v>0</v>
      </c>
      <c r="AC52" s="287">
        <f>IF(('Synthèse PER'!P52="A faire")*AND('Synthèse PER'!F52="Citoyen"),'Synthèse PER'!H52,0)</f>
        <v>0</v>
      </c>
      <c r="AD52" s="287">
        <f>IF(('Synthèse PER'!P52="A faire")*AND('Synthèse PER'!F52="IDELUX"),'Synthèse PER'!H52,0)</f>
        <v>0</v>
      </c>
      <c r="AE52" s="290">
        <f>IF(('Synthèse PER'!P52="A faire")*AND('Synthèse PER'!F52="AC MESSANCY"),'Synthèse PER'!H52,0)</f>
        <v>400000</v>
      </c>
      <c r="AF52" s="287">
        <f>IF(('Synthèse PER'!P52="A faire")*AND('Synthèse PER'!F52="Tertiaire"),'Synthèse PER'!H52,0)</f>
        <v>0</v>
      </c>
      <c r="AG52" s="288"/>
      <c r="AH52" s="290">
        <f>IF(('Synthèse PER'!P52="A faire")*AND('Synthèse PER'!F52="Agriculture"),'Synthèse PER'!J52,0)</f>
        <v>0</v>
      </c>
      <c r="AI52" s="290">
        <f>IF(('Synthèse PER'!P52="A faire")*AND('Synthèse PER'!F52="Industrie"),'Synthèse PER'!J52,0)</f>
        <v>0</v>
      </c>
      <c r="AJ52" s="290">
        <f>IF(('Synthèse PER'!P52="A faire")*AND('Synthèse PER'!F52="Citoyen"),'Synthèse PER'!J52,0)</f>
        <v>0</v>
      </c>
      <c r="AK52" s="290">
        <f>IF(('Synthèse PER'!P52="A faire")*AND('Synthèse PER'!F52="IDELUX"),'Synthèse PER'!J52,0)</f>
        <v>0</v>
      </c>
      <c r="AL52" s="290">
        <f>IF(('Synthèse PER'!P52="A faire")*AND('Synthèse PER'!F52="AC MESSANCY"),'Synthèse PER'!J52,0)</f>
        <v>240000</v>
      </c>
      <c r="AM52" s="290">
        <f>IF(('Synthèse PER'!P52="A faire")*AND('Synthèse PER'!F52="Tertiaire"),'Synthèse PER'!J52,0)</f>
        <v>0</v>
      </c>
      <c r="AN52" s="288"/>
      <c r="AO52" s="290">
        <f>IF(('Synthèse PER'!P52="A faire")*AND('Synthèse PER'!E52="Territoire"),'Synthèse PER'!H52,0)</f>
        <v>0</v>
      </c>
      <c r="AP52" s="290">
        <f>IF(('Synthèse PER'!P52="A faire")*AND('Synthèse PER'!E52="Agriculture"),'Synthèse PER'!H52,0)</f>
        <v>0</v>
      </c>
      <c r="AQ52" s="290">
        <f>IF(('Synthèse PER'!P52="A faire")*AND('Synthèse PER'!E52="Industrie"),'Synthèse PER'!H52,0)</f>
        <v>0</v>
      </c>
      <c r="AR52" s="290">
        <f>IF(('Synthèse PER'!P52="A faire")*AND('Synthèse PER'!E52="Logement"),'Synthèse PER'!H52,0)</f>
        <v>0</v>
      </c>
      <c r="AS52" s="290">
        <f>IF(('Synthèse PER'!P52="A faire")*AND('Synthèse PER'!E52="Tertiaire"),'Synthèse PER'!H52,0)</f>
        <v>0</v>
      </c>
      <c r="AT52" s="290">
        <f>IF(('Synthèse PER'!P52="A faire")*AND('Synthèse PER'!E52="Transport"),'Synthèse PER'!H52,0)</f>
        <v>0</v>
      </c>
      <c r="AU52" s="290">
        <f>IF(('Synthèse PER'!P52="A faire")*AND('Synthèse PER'!E52="Communal"),'Synthèse PER'!H52,0)</f>
        <v>400000</v>
      </c>
      <c r="AV52" s="288"/>
      <c r="AW52" s="290">
        <f>IF(('Synthèse PER'!P52="A faire")*AND('Synthèse PER'!E52="Territoire"),'Synthèse PER'!J52,0)</f>
        <v>0</v>
      </c>
      <c r="AX52" s="290">
        <f>IF(('Synthèse PER'!P52="A faire")*AND('Synthèse PER'!E52="Agriculture"),'Synthèse PER'!J52,0)</f>
        <v>0</v>
      </c>
      <c r="AY52" s="290">
        <f>IF(('Synthèse PER'!P52="A faire")*AND('Synthèse PER'!E52="Industrie"),'Synthèse PER'!J52,0)</f>
        <v>0</v>
      </c>
      <c r="AZ52" s="290">
        <f>IF(('Synthèse PER'!P52="A faire")*AND('Synthèse PER'!E52="Logement"),'Synthèse PER'!J52,0)</f>
        <v>0</v>
      </c>
      <c r="BA52" s="290">
        <f>IF(('Synthèse PER'!P52="A faire")*AND('Synthèse PER'!E52="Tertiaire"),'Synthèse PER'!J52,0)</f>
        <v>0</v>
      </c>
      <c r="BB52" s="290">
        <f>IF(('Synthèse PER'!P52="A faire")*AND('Synthèse PER'!E52="Transport"),'Synthèse PER'!J52,0)</f>
        <v>0</v>
      </c>
      <c r="BC52" s="290">
        <f>IF(('Synthèse PER'!P52="A faire")*AND('Synthèse PER'!E52="Communal"),'Synthèse PER'!J52,0)</f>
        <v>240000</v>
      </c>
      <c r="BD52" s="288"/>
      <c r="BE52" s="290">
        <f>IF(('Synthèse PER'!P52="A faire")*AND('Synthèse PER'!E52="Territoire"),'Synthèse PER'!K52,0)</f>
        <v>0</v>
      </c>
      <c r="BF52" s="290">
        <f>IF(('Synthèse PER'!P52="A faire")*AND('Synthèse PER'!E52="Agriculture"),'Synthèse PER'!K52,0)</f>
        <v>0</v>
      </c>
      <c r="BG52" s="290">
        <f>IF(('Synthèse PER'!P52="A faire")*AND('Synthèse PER'!E52="Industrie"),'Synthèse PER'!K52,0)</f>
        <v>0</v>
      </c>
      <c r="BH52" s="290">
        <f>IF(('Synthèse PER'!P52="A faire")*AND('Synthèse PER'!E52="Logement"),'Synthèse PER'!K52,0)</f>
        <v>0</v>
      </c>
      <c r="BI52" s="290">
        <f>IF(('Synthèse PER'!P52="A faire")*AND('Synthèse PER'!E52="Tertiaire"),'Synthèse PER'!K52,0)</f>
        <v>0</v>
      </c>
      <c r="BJ52" s="290">
        <f>IF(('Synthèse PER'!P52="A faire")*AND('Synthèse PER'!E52="Transport"),'Synthèse PER'!K52,0)</f>
        <v>0</v>
      </c>
      <c r="BK52" s="290">
        <f>IF(('Synthèse PER'!P52="A faire")*AND('Synthèse PER'!E52="Communal"),'Synthèse PER'!K52,0)</f>
        <v>8887.5499999999993</v>
      </c>
      <c r="BL52" s="288"/>
      <c r="BM52" s="290">
        <f>IF(('Synthèse PER'!P52="A faire")*AND('Synthèse PER'!E52="Territoire"),'Synthèse PER'!L52,0)</f>
        <v>0</v>
      </c>
      <c r="BN52" s="290">
        <f>IF(('Synthèse PER'!P52="A faire")*AND('Synthèse PER'!E52="Agriculture"),'Synthèse PER'!L52,0)</f>
        <v>0</v>
      </c>
      <c r="BO52" s="290">
        <f>IF(('Synthèse PER'!P52="A faire")*AND('Synthèse PER'!E52="Industrie"),'Synthèse PER'!L52,0)</f>
        <v>0</v>
      </c>
      <c r="BP52" s="290">
        <f>IF(('Synthèse PER'!P52="A faire")*AND('Synthèse PER'!E52="Logement"),'Synthèse PER'!L52,0)</f>
        <v>0</v>
      </c>
      <c r="BQ52" s="290">
        <f>IF(('Synthèse PER'!P52="A faire")*AND('Synthèse PER'!E52="Tertiaire"),'Synthèse PER'!L52,0)</f>
        <v>0</v>
      </c>
      <c r="BR52" s="290">
        <f>IF(('Synthèse PER'!P52="A faire")*AND('Synthèse PER'!E52="Transport"),'Synthèse PER'!L52,0)</f>
        <v>0</v>
      </c>
      <c r="BS52" s="290">
        <f>IF(('Synthèse PER'!P52="A faire")*AND('Synthèse PER'!E52="Communal"),'Synthèse PER'!L52,0)</f>
        <v>0</v>
      </c>
      <c r="BT52" s="290">
        <f>IF(('Synthèse PER'!Q52="A faire")*AND('Synthèse PER'!F52="Communal"),'Synthèse PER'!M52,0)</f>
        <v>0</v>
      </c>
    </row>
    <row r="53" spans="1:72" s="139" customFormat="1" x14ac:dyDescent="0.25">
      <c r="A53" s="369" t="s">
        <v>95</v>
      </c>
      <c r="B53" s="414" t="str">
        <f>'ADU-21'!B$3:E$3</f>
        <v>Performance énergétique</v>
      </c>
      <c r="C53" s="419" t="str">
        <f>'ADU-21'!$B$8</f>
        <v>Bâtiments communaux</v>
      </c>
      <c r="D53" s="133" t="str">
        <f>'ADU-21'!$B$9</f>
        <v>Régulation de chauffage</v>
      </c>
      <c r="E53" s="133" t="str">
        <f>'ADU-21'!$B$4</f>
        <v>Communal</v>
      </c>
      <c r="F53" s="133" t="str">
        <f>'ADU-21'!$B$12</f>
        <v>AC MESSANCY</v>
      </c>
      <c r="G53" s="133" t="str">
        <f>'ADU-21'!$B$6</f>
        <v>Prêt bancaire</v>
      </c>
      <c r="H53" s="134">
        <f>'ADU-21'!$B$17</f>
        <v>110743.87</v>
      </c>
      <c r="I53" s="133" t="str">
        <f>'ADU-21'!$B$7</f>
        <v>Subs RW</v>
      </c>
      <c r="J53" s="134">
        <f>'ADU-21'!$B$18</f>
        <v>66446.322</v>
      </c>
      <c r="K53" s="134">
        <f>'ADU-21'!$B$21</f>
        <v>9365.2999999999993</v>
      </c>
      <c r="L53" s="134">
        <f>'ADU-21'!$B$22</f>
        <v>0</v>
      </c>
      <c r="M53" s="135">
        <f>'ADU-21'!$B$24</f>
        <v>4.7299657245363198</v>
      </c>
      <c r="N53" s="220">
        <f>'ADU-21'!$B$19/1000</f>
        <v>133.79</v>
      </c>
      <c r="O53" s="136">
        <f>IF(H53=0,0,N53/(H53-J53)*1000)</f>
        <v>3.0202574643634907</v>
      </c>
      <c r="P53" s="137" t="str">
        <f>'ADU-21'!$B$5</f>
        <v>A faire</v>
      </c>
      <c r="Q53" s="140">
        <f>'ADU-21'!$B$16</f>
        <v>2030</v>
      </c>
      <c r="R53" s="283"/>
      <c r="S53" s="138">
        <f t="shared" si="9"/>
        <v>0</v>
      </c>
      <c r="T53" s="138">
        <f t="shared" si="10"/>
        <v>0</v>
      </c>
      <c r="U53" s="138">
        <f t="shared" si="11"/>
        <v>0</v>
      </c>
      <c r="V53" s="138">
        <f t="shared" si="12"/>
        <v>0</v>
      </c>
      <c r="W53" s="138">
        <f t="shared" si="13"/>
        <v>0</v>
      </c>
      <c r="X53" s="138">
        <f t="shared" si="14"/>
        <v>0</v>
      </c>
      <c r="Y53" s="138">
        <f t="shared" si="15"/>
        <v>0</v>
      </c>
      <c r="AA53" s="287">
        <f>IF(('Synthèse PER'!P53="A faire")*AND('Synthèse PER'!F53="Agriculture"),'Synthèse PER'!H53,0)</f>
        <v>0</v>
      </c>
      <c r="AB53" s="287">
        <f>IF(('Synthèse PER'!P53="A faire")*AND('Synthèse PER'!F53="Industrie"),'Synthèse PER'!H53,0)</f>
        <v>0</v>
      </c>
      <c r="AC53" s="287">
        <f>IF(('Synthèse PER'!P53="A faire")*AND('Synthèse PER'!F53="Citoyen"),'Synthèse PER'!H53,0)</f>
        <v>0</v>
      </c>
      <c r="AD53" s="287">
        <f>IF(('Synthèse PER'!P53="A faire")*AND('Synthèse PER'!F53="IDELUX"),'Synthèse PER'!H53,0)</f>
        <v>0</v>
      </c>
      <c r="AE53" s="290">
        <f>IF(('Synthèse PER'!P53="A faire")*AND('Synthèse PER'!F53="AC MESSANCY"),'Synthèse PER'!H53,0)</f>
        <v>110743.87</v>
      </c>
      <c r="AF53" s="287">
        <f>IF(('Synthèse PER'!P53="A faire")*AND('Synthèse PER'!F53="Tertiaire"),'Synthèse PER'!H53,0)</f>
        <v>0</v>
      </c>
      <c r="AG53" s="288"/>
      <c r="AH53" s="290">
        <f>IF(('Synthèse PER'!P53="A faire")*AND('Synthèse PER'!F53="Agriculture"),'Synthèse PER'!J53,0)</f>
        <v>0</v>
      </c>
      <c r="AI53" s="290">
        <f>IF(('Synthèse PER'!P53="A faire")*AND('Synthèse PER'!F53="Industrie"),'Synthèse PER'!J53,0)</f>
        <v>0</v>
      </c>
      <c r="AJ53" s="290">
        <f>IF(('Synthèse PER'!P53="A faire")*AND('Synthèse PER'!F53="Citoyen"),'Synthèse PER'!J53,0)</f>
        <v>0</v>
      </c>
      <c r="AK53" s="290">
        <f>IF(('Synthèse PER'!P53="A faire")*AND('Synthèse PER'!F53="IDELUX"),'Synthèse PER'!J53,0)</f>
        <v>0</v>
      </c>
      <c r="AL53" s="290">
        <f>IF(('Synthèse PER'!P53="A faire")*AND('Synthèse PER'!F53="AC MESSANCY"),'Synthèse PER'!J53,0)</f>
        <v>66446.322</v>
      </c>
      <c r="AM53" s="290">
        <f>IF(('Synthèse PER'!P53="A faire")*AND('Synthèse PER'!F53="Tertiaire"),'Synthèse PER'!J53,0)</f>
        <v>0</v>
      </c>
      <c r="AN53" s="288"/>
      <c r="AO53" s="290">
        <f>IF(('Synthèse PER'!P53="A faire")*AND('Synthèse PER'!E53="Territoire"),'Synthèse PER'!H53,0)</f>
        <v>0</v>
      </c>
      <c r="AP53" s="290">
        <f>IF(('Synthèse PER'!P53="A faire")*AND('Synthèse PER'!E53="Agriculture"),'Synthèse PER'!H53,0)</f>
        <v>0</v>
      </c>
      <c r="AQ53" s="290">
        <f>IF(('Synthèse PER'!P53="A faire")*AND('Synthèse PER'!E53="Industrie"),'Synthèse PER'!H53,0)</f>
        <v>0</v>
      </c>
      <c r="AR53" s="290">
        <f>IF(('Synthèse PER'!P53="A faire")*AND('Synthèse PER'!E53="Logement"),'Synthèse PER'!H53,0)</f>
        <v>0</v>
      </c>
      <c r="AS53" s="290">
        <f>IF(('Synthèse PER'!P53="A faire")*AND('Synthèse PER'!E53="Tertiaire"),'Synthèse PER'!H53,0)</f>
        <v>0</v>
      </c>
      <c r="AT53" s="290">
        <f>IF(('Synthèse PER'!P53="A faire")*AND('Synthèse PER'!E53="Transport"),'Synthèse PER'!H53,0)</f>
        <v>0</v>
      </c>
      <c r="AU53" s="290">
        <f>IF(('Synthèse PER'!P53="A faire")*AND('Synthèse PER'!E53="Communal"),'Synthèse PER'!H53,0)</f>
        <v>110743.87</v>
      </c>
      <c r="AV53" s="288"/>
      <c r="AW53" s="290">
        <f>IF(('Synthèse PER'!P53="A faire")*AND('Synthèse PER'!E53="Territoire"),'Synthèse PER'!J53,0)</f>
        <v>0</v>
      </c>
      <c r="AX53" s="290">
        <f>IF(('Synthèse PER'!P53="A faire")*AND('Synthèse PER'!E53="Agriculture"),'Synthèse PER'!J53,0)</f>
        <v>0</v>
      </c>
      <c r="AY53" s="290">
        <f>IF(('Synthèse PER'!P53="A faire")*AND('Synthèse PER'!E53="Industrie"),'Synthèse PER'!J53,0)</f>
        <v>0</v>
      </c>
      <c r="AZ53" s="290">
        <f>IF(('Synthèse PER'!P53="A faire")*AND('Synthèse PER'!E53="Logement"),'Synthèse PER'!J53,0)</f>
        <v>0</v>
      </c>
      <c r="BA53" s="290">
        <f>IF(('Synthèse PER'!P53="A faire")*AND('Synthèse PER'!E53="Tertiaire"),'Synthèse PER'!J53,0)</f>
        <v>0</v>
      </c>
      <c r="BB53" s="290">
        <f>IF(('Synthèse PER'!P53="A faire")*AND('Synthèse PER'!E53="Transport"),'Synthèse PER'!J53,0)</f>
        <v>0</v>
      </c>
      <c r="BC53" s="290">
        <f>IF(('Synthèse PER'!P53="A faire")*AND('Synthèse PER'!E53="Communal"),'Synthèse PER'!J53,0)</f>
        <v>66446.322</v>
      </c>
      <c r="BD53" s="288"/>
      <c r="BE53" s="290">
        <f>IF(('Synthèse PER'!P53="A faire")*AND('Synthèse PER'!E53="Territoire"),'Synthèse PER'!K53,0)</f>
        <v>0</v>
      </c>
      <c r="BF53" s="290">
        <f>IF(('Synthèse PER'!P53="A faire")*AND('Synthèse PER'!E53="Agriculture"),'Synthèse PER'!K53,0)</f>
        <v>0</v>
      </c>
      <c r="BG53" s="290">
        <f>IF(('Synthèse PER'!P53="A faire")*AND('Synthèse PER'!E53="Industrie"),'Synthèse PER'!K53,0)</f>
        <v>0</v>
      </c>
      <c r="BH53" s="290">
        <f>IF(('Synthèse PER'!P53="A faire")*AND('Synthèse PER'!E53="Logement"),'Synthèse PER'!K53,0)</f>
        <v>0</v>
      </c>
      <c r="BI53" s="290">
        <f>IF(('Synthèse PER'!P53="A faire")*AND('Synthèse PER'!E53="Tertiaire"),'Synthèse PER'!K53,0)</f>
        <v>0</v>
      </c>
      <c r="BJ53" s="290">
        <f>IF(('Synthèse PER'!P53="A faire")*AND('Synthèse PER'!E53="Transport"),'Synthèse PER'!K53,0)</f>
        <v>0</v>
      </c>
      <c r="BK53" s="290">
        <f>IF(('Synthèse PER'!P53="A faire")*AND('Synthèse PER'!E53="Communal"),'Synthèse PER'!K53,0)</f>
        <v>9365.2999999999993</v>
      </c>
      <c r="BL53" s="288"/>
      <c r="BM53" s="290">
        <f>IF(('Synthèse PER'!P53="A faire")*AND('Synthèse PER'!E53="Territoire"),'Synthèse PER'!L53,0)</f>
        <v>0</v>
      </c>
      <c r="BN53" s="290">
        <f>IF(('Synthèse PER'!P53="A faire")*AND('Synthèse PER'!E53="Agriculture"),'Synthèse PER'!L53,0)</f>
        <v>0</v>
      </c>
      <c r="BO53" s="290">
        <f>IF(('Synthèse PER'!P53="A faire")*AND('Synthèse PER'!E53="Industrie"),'Synthèse PER'!L53,0)</f>
        <v>0</v>
      </c>
      <c r="BP53" s="290">
        <f>IF(('Synthèse PER'!P53="A faire")*AND('Synthèse PER'!E53="Logement"),'Synthèse PER'!L53,0)</f>
        <v>0</v>
      </c>
      <c r="BQ53" s="290">
        <f>IF(('Synthèse PER'!P53="A faire")*AND('Synthèse PER'!E53="Tertiaire"),'Synthèse PER'!L53,0)</f>
        <v>0</v>
      </c>
      <c r="BR53" s="290">
        <f>IF(('Synthèse PER'!P53="A faire")*AND('Synthèse PER'!E53="Transport"),'Synthèse PER'!L53,0)</f>
        <v>0</v>
      </c>
      <c r="BS53" s="290">
        <f>IF(('Synthèse PER'!P53="A faire")*AND('Synthèse PER'!E53="Communal"),'Synthèse PER'!L53,0)</f>
        <v>0</v>
      </c>
      <c r="BT53" s="290">
        <f>IF(('Synthèse PER'!Q53="A faire")*AND('Synthèse PER'!F53="Communal"),'Synthèse PER'!M53,0)</f>
        <v>0</v>
      </c>
    </row>
    <row r="54" spans="1:72" s="139" customFormat="1" x14ac:dyDescent="0.25">
      <c r="A54" s="369" t="s">
        <v>96</v>
      </c>
      <c r="B54" s="414" t="str">
        <f>'ADU-22'!B$3:E$3</f>
        <v>Performance énergétique</v>
      </c>
      <c r="C54" s="419" t="str">
        <f>'ADU-22'!$B$8</f>
        <v>Bâtiments agricoles</v>
      </c>
      <c r="D54" s="133" t="str">
        <f>'ADU-22'!$B$9</f>
        <v>Diagnostics énergétiques</v>
      </c>
      <c r="E54" s="133" t="str">
        <f>'ADU-22'!$B$4</f>
        <v>Agriculture</v>
      </c>
      <c r="F54" s="133" t="str">
        <f>'ADU-22'!$B$12</f>
        <v>Agriculture</v>
      </c>
      <c r="G54" s="133" t="str">
        <f>'ADU-22'!$B$6</f>
        <v>Fonds propres</v>
      </c>
      <c r="H54" s="134">
        <f>'ADU-22'!$B$17</f>
        <v>18000</v>
      </c>
      <c r="I54" s="133" t="str">
        <f>'ADU-22'!$B$7</f>
        <v>Néant</v>
      </c>
      <c r="J54" s="134">
        <f>'ADU-22'!$B$18</f>
        <v>0</v>
      </c>
      <c r="K54" s="134">
        <f>'ADU-22'!$B$21</f>
        <v>19174.776271985571</v>
      </c>
      <c r="L54" s="134">
        <f>'ADU-22'!$B$22</f>
        <v>0</v>
      </c>
      <c r="M54" s="135">
        <f>'ADU-22'!$B$24</f>
        <v>0.93873324750589537</v>
      </c>
      <c r="N54" s="135">
        <f>'ADU-22'!$B$19/1000</f>
        <v>246.43763925923139</v>
      </c>
      <c r="O54" s="136"/>
      <c r="P54" s="137" t="str">
        <f>'ADU-22'!$B$5</f>
        <v>A faire</v>
      </c>
      <c r="Q54" s="140">
        <f>'ADU-22'!$B$16</f>
        <v>2025</v>
      </c>
      <c r="R54" s="283" t="str">
        <f t="shared" ref="R54:R70" si="47">IF(P54="terminé", N54,"")</f>
        <v/>
      </c>
      <c r="S54" s="138">
        <f t="shared" si="9"/>
        <v>0</v>
      </c>
      <c r="T54" s="138">
        <f t="shared" si="10"/>
        <v>0</v>
      </c>
      <c r="U54" s="138">
        <f t="shared" si="11"/>
        <v>0</v>
      </c>
      <c r="V54" s="138">
        <f t="shared" si="12"/>
        <v>0</v>
      </c>
      <c r="W54" s="138">
        <f t="shared" si="13"/>
        <v>0</v>
      </c>
      <c r="X54" s="138">
        <f t="shared" si="14"/>
        <v>0</v>
      </c>
      <c r="Y54" s="138">
        <f t="shared" si="15"/>
        <v>0</v>
      </c>
      <c r="AA54" s="287">
        <f>IF(('Synthèse PER'!P54="A faire")*AND('Synthèse PER'!F54="Agriculture"),'Synthèse PER'!H54,0)</f>
        <v>18000</v>
      </c>
      <c r="AB54" s="287">
        <f>IF(('Synthèse PER'!P54="A faire")*AND('Synthèse PER'!F54="Industrie"),'Synthèse PER'!H54,0)</f>
        <v>0</v>
      </c>
      <c r="AC54" s="287">
        <f>IF(('Synthèse PER'!P54="A faire")*AND('Synthèse PER'!F54="Citoyen"),'Synthèse PER'!H54,0)</f>
        <v>0</v>
      </c>
      <c r="AD54" s="287">
        <f>IF(('Synthèse PER'!P54="A faire")*AND('Synthèse PER'!F54="IDELUX"),'Synthèse PER'!H54,0)</f>
        <v>0</v>
      </c>
      <c r="AE54" s="290">
        <f>IF(('Synthèse PER'!P54="A faire")*AND('Synthèse PER'!F54="AC MESSANCY"),'Synthèse PER'!H54,0)</f>
        <v>0</v>
      </c>
      <c r="AF54" s="287">
        <f>IF(('Synthèse PER'!P54="A faire")*AND('Synthèse PER'!F54="Tertiaire"),'Synthèse PER'!H54,0)</f>
        <v>0</v>
      </c>
      <c r="AG54" s="288"/>
      <c r="AH54" s="290">
        <f>IF(('Synthèse PER'!P54="A faire")*AND('Synthèse PER'!F54="Agriculture"),'Synthèse PER'!J54,0)</f>
        <v>0</v>
      </c>
      <c r="AI54" s="290">
        <f>IF(('Synthèse PER'!P54="A faire")*AND('Synthèse PER'!F54="Industrie"),'Synthèse PER'!J54,0)</f>
        <v>0</v>
      </c>
      <c r="AJ54" s="290">
        <f>IF(('Synthèse PER'!P54="A faire")*AND('Synthèse PER'!F54="Citoyen"),'Synthèse PER'!J54,0)</f>
        <v>0</v>
      </c>
      <c r="AK54" s="290">
        <f>IF(('Synthèse PER'!P54="A faire")*AND('Synthèse PER'!F54="IDELUX"),'Synthèse PER'!J54,0)</f>
        <v>0</v>
      </c>
      <c r="AL54" s="290">
        <f>IF(('Synthèse PER'!P54="A faire")*AND('Synthèse PER'!F54="AC MESSANCY"),'Synthèse PER'!J54,0)</f>
        <v>0</v>
      </c>
      <c r="AM54" s="290">
        <f>IF(('Synthèse PER'!P54="A faire")*AND('Synthèse PER'!F54="Tertiaire"),'Synthèse PER'!J54,0)</f>
        <v>0</v>
      </c>
      <c r="AN54" s="288"/>
      <c r="AO54" s="290">
        <f>IF(('Synthèse PER'!P54="A faire")*AND('Synthèse PER'!E54="Territoire"),'Synthèse PER'!H54,0)</f>
        <v>0</v>
      </c>
      <c r="AP54" s="290">
        <f>IF(('Synthèse PER'!P54="A faire")*AND('Synthèse PER'!E54="Agriculture"),'Synthèse PER'!H54,0)</f>
        <v>18000</v>
      </c>
      <c r="AQ54" s="290">
        <f>IF(('Synthèse PER'!P54="A faire")*AND('Synthèse PER'!E54="Industrie"),'Synthèse PER'!H54,0)</f>
        <v>0</v>
      </c>
      <c r="AR54" s="290">
        <f>IF(('Synthèse PER'!P54="A faire")*AND('Synthèse PER'!E54="Logement"),'Synthèse PER'!H54,0)</f>
        <v>0</v>
      </c>
      <c r="AS54" s="290">
        <f>IF(('Synthèse PER'!P54="A faire")*AND('Synthèse PER'!E54="Tertiaire"),'Synthèse PER'!H54,0)</f>
        <v>0</v>
      </c>
      <c r="AT54" s="290">
        <f>IF(('Synthèse PER'!P54="A faire")*AND('Synthèse PER'!E54="Transport"),'Synthèse PER'!H54,0)</f>
        <v>0</v>
      </c>
      <c r="AU54" s="290">
        <f>IF(('Synthèse PER'!P54="A faire")*AND('Synthèse PER'!E54="Communal"),'Synthèse PER'!H54,0)</f>
        <v>0</v>
      </c>
      <c r="AV54" s="288"/>
      <c r="AW54" s="290">
        <f>IF(('Synthèse PER'!P54="A faire")*AND('Synthèse PER'!E54="Territoire"),'Synthèse PER'!J54,0)</f>
        <v>0</v>
      </c>
      <c r="AX54" s="290">
        <f>IF(('Synthèse PER'!P54="A faire")*AND('Synthèse PER'!E54="Agriculture"),'Synthèse PER'!J54,0)</f>
        <v>0</v>
      </c>
      <c r="AY54" s="290">
        <f>IF(('Synthèse PER'!P54="A faire")*AND('Synthèse PER'!E54="Industrie"),'Synthèse PER'!J54,0)</f>
        <v>0</v>
      </c>
      <c r="AZ54" s="290">
        <f>IF(('Synthèse PER'!P54="A faire")*AND('Synthèse PER'!E54="Logement"),'Synthèse PER'!J54,0)</f>
        <v>0</v>
      </c>
      <c r="BA54" s="290">
        <f>IF(('Synthèse PER'!P54="A faire")*AND('Synthèse PER'!E54="Tertiaire"),'Synthèse PER'!J54,0)</f>
        <v>0</v>
      </c>
      <c r="BB54" s="290">
        <f>IF(('Synthèse PER'!P54="A faire")*AND('Synthèse PER'!E54="Transport"),'Synthèse PER'!J54,0)</f>
        <v>0</v>
      </c>
      <c r="BC54" s="290">
        <f>IF(('Synthèse PER'!P54="A faire")*AND('Synthèse PER'!E54="Communal"),'Synthèse PER'!J54,0)</f>
        <v>0</v>
      </c>
      <c r="BD54" s="288"/>
      <c r="BE54" s="290">
        <f>IF(('Synthèse PER'!P54="A faire")*AND('Synthèse PER'!E54="Territoire"),'Synthèse PER'!K54,0)</f>
        <v>0</v>
      </c>
      <c r="BF54" s="290">
        <f>IF(('Synthèse PER'!P54="A faire")*AND('Synthèse PER'!E54="Agriculture"),'Synthèse PER'!K54,0)</f>
        <v>19174.776271985571</v>
      </c>
      <c r="BG54" s="290">
        <f>IF(('Synthèse PER'!P54="A faire")*AND('Synthèse PER'!E54="Industrie"),'Synthèse PER'!K54,0)</f>
        <v>0</v>
      </c>
      <c r="BH54" s="290">
        <f>IF(('Synthèse PER'!P54="A faire")*AND('Synthèse PER'!E54="Logement"),'Synthèse PER'!K54,0)</f>
        <v>0</v>
      </c>
      <c r="BI54" s="290">
        <f>IF(('Synthèse PER'!P54="A faire")*AND('Synthèse PER'!E54="Tertiaire"),'Synthèse PER'!K54,0)</f>
        <v>0</v>
      </c>
      <c r="BJ54" s="290">
        <f>IF(('Synthèse PER'!P54="A faire")*AND('Synthèse PER'!E54="Transport"),'Synthèse PER'!K54,0)</f>
        <v>0</v>
      </c>
      <c r="BK54" s="290">
        <f>IF(('Synthèse PER'!P54="A faire")*AND('Synthèse PER'!E54="Communal"),'Synthèse PER'!K54,0)</f>
        <v>0</v>
      </c>
      <c r="BL54" s="288"/>
      <c r="BM54" s="290">
        <f>IF(('Synthèse PER'!P54="A faire")*AND('Synthèse PER'!E54="Territoire"),'Synthèse PER'!L54,0)</f>
        <v>0</v>
      </c>
      <c r="BN54" s="290">
        <f>IF(('Synthèse PER'!P54="A faire")*AND('Synthèse PER'!E54="Agriculture"),'Synthèse PER'!L54,0)</f>
        <v>0</v>
      </c>
      <c r="BO54" s="290">
        <f>IF(('Synthèse PER'!P54="A faire")*AND('Synthèse PER'!E54="Industrie"),'Synthèse PER'!L54,0)</f>
        <v>0</v>
      </c>
      <c r="BP54" s="290">
        <f>IF(('Synthèse PER'!P54="A faire")*AND('Synthèse PER'!E54="Logement"),'Synthèse PER'!L54,0)</f>
        <v>0</v>
      </c>
      <c r="BQ54" s="290">
        <f>IF(('Synthèse PER'!P54="A faire")*AND('Synthèse PER'!E54="Tertiaire"),'Synthèse PER'!L54,0)</f>
        <v>0</v>
      </c>
      <c r="BR54" s="290">
        <f>IF(('Synthèse PER'!P54="A faire")*AND('Synthèse PER'!E54="Transport"),'Synthèse PER'!L54,0)</f>
        <v>0</v>
      </c>
      <c r="BS54" s="290">
        <f>IF(('Synthèse PER'!P54="A faire")*AND('Synthèse PER'!E54="Communal"),'Synthèse PER'!L54,0)</f>
        <v>0</v>
      </c>
      <c r="BT54" s="290">
        <f>IF(('Synthèse PER'!Q54="A faire")*AND('Synthèse PER'!F54="Communal"),'Synthèse PER'!M54,0)</f>
        <v>0</v>
      </c>
    </row>
    <row r="55" spans="1:72" s="139" customFormat="1" x14ac:dyDescent="0.25">
      <c r="A55" s="369" t="s">
        <v>97</v>
      </c>
      <c r="B55" s="414" t="str">
        <f>'ADU-23'!B$3:E$3</f>
        <v>Performance énergétique</v>
      </c>
      <c r="C55" s="419" t="str">
        <f>'ADU-23'!$B$8</f>
        <v>Processus de fabrication</v>
      </c>
      <c r="D55" s="133" t="str">
        <f>'ADU-23'!$B$9</f>
        <v xml:space="preserve">Réduction des consommations </v>
      </c>
      <c r="E55" s="133" t="str">
        <f>'ADU-23'!$B$4</f>
        <v>Industrie</v>
      </c>
      <c r="F55" s="133" t="str">
        <f>'ADU-23'!$B$12</f>
        <v>Industrie</v>
      </c>
      <c r="G55" s="133" t="str">
        <f>'ADU-23'!$B$6</f>
        <v>Fonds propres</v>
      </c>
      <c r="H55" s="134">
        <f>'ADU-23'!$B$17</f>
        <v>20000</v>
      </c>
      <c r="I55" s="133" t="str">
        <f>'ADU-23'!$B$7</f>
        <v>Néant</v>
      </c>
      <c r="J55" s="134">
        <f>'ADU-23'!$B$18</f>
        <v>0</v>
      </c>
      <c r="K55" s="134">
        <f>'ADU-23'!$B$21</f>
        <v>405610.29652933386</v>
      </c>
      <c r="L55" s="134">
        <f>'ADU-23'!$B$22</f>
        <v>0</v>
      </c>
      <c r="M55" s="135">
        <f>'ADU-23'!$B$24</f>
        <v>4.930841295483137E-2</v>
      </c>
      <c r="N55" s="135">
        <f>'ADU-23'!$B$19/1000</f>
        <v>3862.9552050412749</v>
      </c>
      <c r="O55" s="136"/>
      <c r="P55" s="137" t="str">
        <f>'ADU-23'!$B$5</f>
        <v>A faire</v>
      </c>
      <c r="Q55" s="140">
        <f>'ADU-23'!$B$16</f>
        <v>2030</v>
      </c>
      <c r="R55" s="283" t="str">
        <f t="shared" si="47"/>
        <v/>
      </c>
      <c r="S55" s="138">
        <f t="shared" si="9"/>
        <v>0</v>
      </c>
      <c r="T55" s="138">
        <f t="shared" si="10"/>
        <v>0</v>
      </c>
      <c r="U55" s="138">
        <f t="shared" si="11"/>
        <v>0</v>
      </c>
      <c r="V55" s="138">
        <f t="shared" si="12"/>
        <v>0</v>
      </c>
      <c r="W55" s="138">
        <f t="shared" si="13"/>
        <v>0</v>
      </c>
      <c r="X55" s="138">
        <f t="shared" si="14"/>
        <v>0</v>
      </c>
      <c r="Y55" s="138">
        <f t="shared" si="15"/>
        <v>0</v>
      </c>
      <c r="AA55" s="287">
        <f>IF(('Synthèse PER'!P55="A faire")*AND('Synthèse PER'!F55="Agriculture"),'Synthèse PER'!H55,0)</f>
        <v>0</v>
      </c>
      <c r="AB55" s="287">
        <f>IF(('Synthèse PER'!P55="A faire")*AND('Synthèse PER'!F55="Industrie"),'Synthèse PER'!H55,0)</f>
        <v>20000</v>
      </c>
      <c r="AC55" s="287">
        <f>IF(('Synthèse PER'!P55="A faire")*AND('Synthèse PER'!F55="Citoyen"),'Synthèse PER'!H55,0)</f>
        <v>0</v>
      </c>
      <c r="AD55" s="287">
        <f>IF(('Synthèse PER'!P55="A faire")*AND('Synthèse PER'!F55="IDELUX"),'Synthèse PER'!H55,0)</f>
        <v>0</v>
      </c>
      <c r="AE55" s="290">
        <f>IF(('Synthèse PER'!P55="A faire")*AND('Synthèse PER'!F55="AC MESSANCY"),'Synthèse PER'!H55,0)</f>
        <v>0</v>
      </c>
      <c r="AF55" s="287">
        <f>IF(('Synthèse PER'!P55="A faire")*AND('Synthèse PER'!F55="Tertiaire"),'Synthèse PER'!H55,0)</f>
        <v>0</v>
      </c>
      <c r="AG55" s="288"/>
      <c r="AH55" s="290">
        <f>IF(('Synthèse PER'!P55="A faire")*AND('Synthèse PER'!F55="Agriculture"),'Synthèse PER'!J55,0)</f>
        <v>0</v>
      </c>
      <c r="AI55" s="290">
        <f>IF(('Synthèse PER'!P55="A faire")*AND('Synthèse PER'!F55="Industrie"),'Synthèse PER'!J55,0)</f>
        <v>0</v>
      </c>
      <c r="AJ55" s="290">
        <f>IF(('Synthèse PER'!P55="A faire")*AND('Synthèse PER'!F55="Citoyen"),'Synthèse PER'!J55,0)</f>
        <v>0</v>
      </c>
      <c r="AK55" s="290">
        <f>IF(('Synthèse PER'!P55="A faire")*AND('Synthèse PER'!F55="IDELUX"),'Synthèse PER'!J55,0)</f>
        <v>0</v>
      </c>
      <c r="AL55" s="290">
        <f>IF(('Synthèse PER'!P55="A faire")*AND('Synthèse PER'!F55="AC MESSANCY"),'Synthèse PER'!J55,0)</f>
        <v>0</v>
      </c>
      <c r="AM55" s="290">
        <f>IF(('Synthèse PER'!P55="A faire")*AND('Synthèse PER'!F55="Tertiaire"),'Synthèse PER'!J55,0)</f>
        <v>0</v>
      </c>
      <c r="AN55" s="288"/>
      <c r="AO55" s="290">
        <f>IF(('Synthèse PER'!P55="A faire")*AND('Synthèse PER'!E55="Territoire"),'Synthèse PER'!H55,0)</f>
        <v>0</v>
      </c>
      <c r="AP55" s="290">
        <f>IF(('Synthèse PER'!P55="A faire")*AND('Synthèse PER'!E55="Agriculture"),'Synthèse PER'!H55,0)</f>
        <v>0</v>
      </c>
      <c r="AQ55" s="290">
        <f>IF(('Synthèse PER'!P55="A faire")*AND('Synthèse PER'!E55="Industrie"),'Synthèse PER'!H55,0)</f>
        <v>20000</v>
      </c>
      <c r="AR55" s="290">
        <f>IF(('Synthèse PER'!P55="A faire")*AND('Synthèse PER'!E55="Logement"),'Synthèse PER'!H55,0)</f>
        <v>0</v>
      </c>
      <c r="AS55" s="290">
        <f>IF(('Synthèse PER'!P55="A faire")*AND('Synthèse PER'!E55="Tertiaire"),'Synthèse PER'!H55,0)</f>
        <v>0</v>
      </c>
      <c r="AT55" s="290">
        <f>IF(('Synthèse PER'!P55="A faire")*AND('Synthèse PER'!E55="Transport"),'Synthèse PER'!H55,0)</f>
        <v>0</v>
      </c>
      <c r="AU55" s="290">
        <f>IF(('Synthèse PER'!P55="A faire")*AND('Synthèse PER'!E55="Communal"),'Synthèse PER'!H55,0)</f>
        <v>0</v>
      </c>
      <c r="AV55" s="288"/>
      <c r="AW55" s="290">
        <f>IF(('Synthèse PER'!P55="A faire")*AND('Synthèse PER'!E55="Territoire"),'Synthèse PER'!J55,0)</f>
        <v>0</v>
      </c>
      <c r="AX55" s="290">
        <f>IF(('Synthèse PER'!P55="A faire")*AND('Synthèse PER'!E55="Agriculture"),'Synthèse PER'!J55,0)</f>
        <v>0</v>
      </c>
      <c r="AY55" s="290">
        <f>IF(('Synthèse PER'!P55="A faire")*AND('Synthèse PER'!E55="Industrie"),'Synthèse PER'!J55,0)</f>
        <v>0</v>
      </c>
      <c r="AZ55" s="290">
        <f>IF(('Synthèse PER'!P55="A faire")*AND('Synthèse PER'!E55="Logement"),'Synthèse PER'!J55,0)</f>
        <v>0</v>
      </c>
      <c r="BA55" s="290">
        <f>IF(('Synthèse PER'!P55="A faire")*AND('Synthèse PER'!E55="Tertiaire"),'Synthèse PER'!J55,0)</f>
        <v>0</v>
      </c>
      <c r="BB55" s="290">
        <f>IF(('Synthèse PER'!P55="A faire")*AND('Synthèse PER'!E55="Transport"),'Synthèse PER'!J55,0)</f>
        <v>0</v>
      </c>
      <c r="BC55" s="290">
        <f>IF(('Synthèse PER'!P55="A faire")*AND('Synthèse PER'!E55="Communal"),'Synthèse PER'!J55,0)</f>
        <v>0</v>
      </c>
      <c r="BD55" s="288"/>
      <c r="BE55" s="290">
        <f>IF(('Synthèse PER'!P55="A faire")*AND('Synthèse PER'!E55="Territoire"),'Synthèse PER'!K55,0)</f>
        <v>0</v>
      </c>
      <c r="BF55" s="290">
        <f>IF(('Synthèse PER'!P55="A faire")*AND('Synthèse PER'!E55="Agriculture"),'Synthèse PER'!K55,0)</f>
        <v>0</v>
      </c>
      <c r="BG55" s="290">
        <f>IF(('Synthèse PER'!P55="A faire")*AND('Synthèse PER'!E55="Industrie"),'Synthèse PER'!K55,0)</f>
        <v>405610.29652933386</v>
      </c>
      <c r="BH55" s="290">
        <f>IF(('Synthèse PER'!P55="A faire")*AND('Synthèse PER'!E55="Logement"),'Synthèse PER'!K55,0)</f>
        <v>0</v>
      </c>
      <c r="BI55" s="290">
        <f>IF(('Synthèse PER'!P55="A faire")*AND('Synthèse PER'!E55="Tertiaire"),'Synthèse PER'!K55,0)</f>
        <v>0</v>
      </c>
      <c r="BJ55" s="290">
        <f>IF(('Synthèse PER'!P55="A faire")*AND('Synthèse PER'!E55="Transport"),'Synthèse PER'!K55,0)</f>
        <v>0</v>
      </c>
      <c r="BK55" s="290">
        <f>IF(('Synthèse PER'!P55="A faire")*AND('Synthèse PER'!E55="Communal"),'Synthèse PER'!K55,0)</f>
        <v>0</v>
      </c>
      <c r="BL55" s="288"/>
      <c r="BM55" s="290">
        <f>IF(('Synthèse PER'!P55="A faire")*AND('Synthèse PER'!E55="Territoire"),'Synthèse PER'!L55,0)</f>
        <v>0</v>
      </c>
      <c r="BN55" s="290">
        <f>IF(('Synthèse PER'!P55="A faire")*AND('Synthèse PER'!E55="Agriculture"),'Synthèse PER'!L55,0)</f>
        <v>0</v>
      </c>
      <c r="BO55" s="290">
        <f>IF(('Synthèse PER'!P55="A faire")*AND('Synthèse PER'!E55="Industrie"),'Synthèse PER'!L55,0)</f>
        <v>0</v>
      </c>
      <c r="BP55" s="290">
        <f>IF(('Synthèse PER'!P55="A faire")*AND('Synthèse PER'!E55="Logement"),'Synthèse PER'!L55,0)</f>
        <v>0</v>
      </c>
      <c r="BQ55" s="290">
        <f>IF(('Synthèse PER'!P55="A faire")*AND('Synthèse PER'!E55="Tertiaire"),'Synthèse PER'!L55,0)</f>
        <v>0</v>
      </c>
      <c r="BR55" s="290">
        <f>IF(('Synthèse PER'!P55="A faire")*AND('Synthèse PER'!E55="Transport"),'Synthèse PER'!L55,0)</f>
        <v>0</v>
      </c>
      <c r="BS55" s="290">
        <f>IF(('Synthèse PER'!P55="A faire")*AND('Synthèse PER'!E55="Communal"),'Synthèse PER'!L55,0)</f>
        <v>0</v>
      </c>
      <c r="BT55" s="290">
        <f>IF(('Synthèse PER'!Q55="A faire")*AND('Synthèse PER'!F55="Communal"),'Synthèse PER'!M55,0)</f>
        <v>0</v>
      </c>
    </row>
    <row r="56" spans="1:72" s="139" customFormat="1" x14ac:dyDescent="0.25">
      <c r="A56" s="369" t="s">
        <v>99</v>
      </c>
      <c r="B56" s="414" t="str">
        <f>'ADU-24'!B$3:E$3</f>
        <v>Performance énergétique</v>
      </c>
      <c r="C56" s="419" t="str">
        <f>'ADU-24'!$B$8</f>
        <v>Bâtiments tertiaires</v>
      </c>
      <c r="D56" s="133" t="str">
        <f>'ADU-24'!$B$9</f>
        <v xml:space="preserve">Performance énergétique </v>
      </c>
      <c r="E56" s="133" t="str">
        <f>'ADU-24'!$B$4</f>
        <v>Tertiaire</v>
      </c>
      <c r="F56" s="133" t="str">
        <f>'ADU-24'!$B$12</f>
        <v>Tertiaire</v>
      </c>
      <c r="G56" s="133" t="str">
        <f>'ADU-24'!$B$6</f>
        <v>Fonds propres</v>
      </c>
      <c r="H56" s="134">
        <f>'ADU-24'!$B$17</f>
        <v>20000</v>
      </c>
      <c r="I56" s="133" t="str">
        <f>'ADU-24'!$B$7</f>
        <v>Néant</v>
      </c>
      <c r="J56" s="134">
        <f>'ADU-24'!$B$18</f>
        <v>0</v>
      </c>
      <c r="K56" s="134">
        <f>'ADU-24'!$B$21</f>
        <v>131957.41576785903</v>
      </c>
      <c r="L56" s="134">
        <f>'ADU-24'!$B$22</f>
        <v>0</v>
      </c>
      <c r="M56" s="135">
        <f>'ADU-24'!$B$24</f>
        <v>0.15156404726191536</v>
      </c>
      <c r="N56" s="135">
        <f>'ADU-24'!$B$19/1000</f>
        <v>1256.7372930272286</v>
      </c>
      <c r="O56" s="136"/>
      <c r="P56" s="137" t="str">
        <f>'ADU-24'!$B$5</f>
        <v>A faire</v>
      </c>
      <c r="Q56" s="140">
        <f>'ADU-24'!$B$16</f>
        <v>2030</v>
      </c>
      <c r="R56" s="283" t="str">
        <f t="shared" si="47"/>
        <v/>
      </c>
      <c r="S56" s="138">
        <f t="shared" si="9"/>
        <v>0</v>
      </c>
      <c r="T56" s="138">
        <f t="shared" si="10"/>
        <v>0</v>
      </c>
      <c r="U56" s="138">
        <f t="shared" si="11"/>
        <v>0</v>
      </c>
      <c r="V56" s="138">
        <f t="shared" si="12"/>
        <v>0</v>
      </c>
      <c r="W56" s="138">
        <f t="shared" si="13"/>
        <v>0</v>
      </c>
      <c r="X56" s="138">
        <f t="shared" si="14"/>
        <v>0</v>
      </c>
      <c r="Y56" s="138">
        <f t="shared" si="15"/>
        <v>0</v>
      </c>
      <c r="AA56" s="287">
        <f>IF(('Synthèse PER'!P56="A faire")*AND('Synthèse PER'!F56="Agriculture"),'Synthèse PER'!H56,0)</f>
        <v>0</v>
      </c>
      <c r="AB56" s="287">
        <f>IF(('Synthèse PER'!P56="A faire")*AND('Synthèse PER'!F56="Industrie"),'Synthèse PER'!H56,0)</f>
        <v>0</v>
      </c>
      <c r="AC56" s="287">
        <f>IF(('Synthèse PER'!P56="A faire")*AND('Synthèse PER'!F56="Citoyen"),'Synthèse PER'!H56,0)</f>
        <v>0</v>
      </c>
      <c r="AD56" s="287">
        <f>IF(('Synthèse PER'!P56="A faire")*AND('Synthèse PER'!F56="IDELUX"),'Synthèse PER'!H56,0)</f>
        <v>0</v>
      </c>
      <c r="AE56" s="290">
        <f>IF(('Synthèse PER'!P56="A faire")*AND('Synthèse PER'!F56="AC MESSANCY"),'Synthèse PER'!H56,0)</f>
        <v>0</v>
      </c>
      <c r="AF56" s="287">
        <f>IF(('Synthèse PER'!P56="A faire")*AND('Synthèse PER'!F56="Tertiaire"),'Synthèse PER'!H56,0)</f>
        <v>20000</v>
      </c>
      <c r="AG56" s="288"/>
      <c r="AH56" s="290">
        <f>IF(('Synthèse PER'!P56="A faire")*AND('Synthèse PER'!F56="Agriculture"),'Synthèse PER'!J56,0)</f>
        <v>0</v>
      </c>
      <c r="AI56" s="290">
        <f>IF(('Synthèse PER'!P56="A faire")*AND('Synthèse PER'!F56="Industrie"),'Synthèse PER'!J56,0)</f>
        <v>0</v>
      </c>
      <c r="AJ56" s="290">
        <f>IF(('Synthèse PER'!P56="A faire")*AND('Synthèse PER'!F56="Citoyen"),'Synthèse PER'!J56,0)</f>
        <v>0</v>
      </c>
      <c r="AK56" s="290">
        <f>IF(('Synthèse PER'!P56="A faire")*AND('Synthèse PER'!F56="IDELUX"),'Synthèse PER'!J56,0)</f>
        <v>0</v>
      </c>
      <c r="AL56" s="290">
        <f>IF(('Synthèse PER'!P56="A faire")*AND('Synthèse PER'!F56="AC MESSANCY"),'Synthèse PER'!J56,0)</f>
        <v>0</v>
      </c>
      <c r="AM56" s="290">
        <f>IF(('Synthèse PER'!P56="A faire")*AND('Synthèse PER'!F56="Tertiaire"),'Synthèse PER'!J56,0)</f>
        <v>0</v>
      </c>
      <c r="AN56" s="288"/>
      <c r="AO56" s="290">
        <f>IF(('Synthèse PER'!P56="A faire")*AND('Synthèse PER'!E56="Territoire"),'Synthèse PER'!H56,0)</f>
        <v>0</v>
      </c>
      <c r="AP56" s="290">
        <f>IF(('Synthèse PER'!P56="A faire")*AND('Synthèse PER'!E56="Agriculture"),'Synthèse PER'!H56,0)</f>
        <v>0</v>
      </c>
      <c r="AQ56" s="290">
        <f>IF(('Synthèse PER'!P56="A faire")*AND('Synthèse PER'!E56="Industrie"),'Synthèse PER'!H56,0)</f>
        <v>0</v>
      </c>
      <c r="AR56" s="290">
        <f>IF(('Synthèse PER'!P56="A faire")*AND('Synthèse PER'!E56="Logement"),'Synthèse PER'!H56,0)</f>
        <v>0</v>
      </c>
      <c r="AS56" s="290">
        <f>IF(('Synthèse PER'!P56="A faire")*AND('Synthèse PER'!E56="Tertiaire"),'Synthèse PER'!H56,0)</f>
        <v>20000</v>
      </c>
      <c r="AT56" s="290">
        <f>IF(('Synthèse PER'!P56="A faire")*AND('Synthèse PER'!E56="Transport"),'Synthèse PER'!H56,0)</f>
        <v>0</v>
      </c>
      <c r="AU56" s="290">
        <f>IF(('Synthèse PER'!P56="A faire")*AND('Synthèse PER'!E56="Communal"),'Synthèse PER'!H56,0)</f>
        <v>0</v>
      </c>
      <c r="AV56" s="288"/>
      <c r="AW56" s="290">
        <f>IF(('Synthèse PER'!P56="A faire")*AND('Synthèse PER'!E56="Territoire"),'Synthèse PER'!J56,0)</f>
        <v>0</v>
      </c>
      <c r="AX56" s="290">
        <f>IF(('Synthèse PER'!P56="A faire")*AND('Synthèse PER'!E56="Agriculture"),'Synthèse PER'!J56,0)</f>
        <v>0</v>
      </c>
      <c r="AY56" s="290">
        <f>IF(('Synthèse PER'!P56="A faire")*AND('Synthèse PER'!E56="Industrie"),'Synthèse PER'!J56,0)</f>
        <v>0</v>
      </c>
      <c r="AZ56" s="290">
        <f>IF(('Synthèse PER'!P56="A faire")*AND('Synthèse PER'!E56="Logement"),'Synthèse PER'!J56,0)</f>
        <v>0</v>
      </c>
      <c r="BA56" s="290">
        <f>IF(('Synthèse PER'!P56="A faire")*AND('Synthèse PER'!E56="Tertiaire"),'Synthèse PER'!J56,0)</f>
        <v>0</v>
      </c>
      <c r="BB56" s="290">
        <f>IF(('Synthèse PER'!P56="A faire")*AND('Synthèse PER'!E56="Transport"),'Synthèse PER'!J56,0)</f>
        <v>0</v>
      </c>
      <c r="BC56" s="290">
        <f>IF(('Synthèse PER'!P56="A faire")*AND('Synthèse PER'!E56="Communal"),'Synthèse PER'!J56,0)</f>
        <v>0</v>
      </c>
      <c r="BD56" s="288"/>
      <c r="BE56" s="290">
        <f>IF(('Synthèse PER'!P56="A faire")*AND('Synthèse PER'!E56="Territoire"),'Synthèse PER'!K56,0)</f>
        <v>0</v>
      </c>
      <c r="BF56" s="290">
        <f>IF(('Synthèse PER'!P56="A faire")*AND('Synthèse PER'!E56="Agriculture"),'Synthèse PER'!K56,0)</f>
        <v>0</v>
      </c>
      <c r="BG56" s="290">
        <f>IF(('Synthèse PER'!P56="A faire")*AND('Synthèse PER'!E56="Industrie"),'Synthèse PER'!K56,0)</f>
        <v>0</v>
      </c>
      <c r="BH56" s="290">
        <f>IF(('Synthèse PER'!P56="A faire")*AND('Synthèse PER'!E56="Logement"),'Synthèse PER'!K56,0)</f>
        <v>0</v>
      </c>
      <c r="BI56" s="290">
        <f>IF(('Synthèse PER'!P56="A faire")*AND('Synthèse PER'!E56="Tertiaire"),'Synthèse PER'!K56,0)</f>
        <v>131957.41576785903</v>
      </c>
      <c r="BJ56" s="290">
        <f>IF(('Synthèse PER'!P56="A faire")*AND('Synthèse PER'!E56="Transport"),'Synthèse PER'!K56,0)</f>
        <v>0</v>
      </c>
      <c r="BK56" s="290">
        <f>IF(('Synthèse PER'!P56="A faire")*AND('Synthèse PER'!E56="Communal"),'Synthèse PER'!K56,0)</f>
        <v>0</v>
      </c>
      <c r="BL56" s="288"/>
      <c r="BM56" s="290">
        <f>IF(('Synthèse PER'!P56="A faire")*AND('Synthèse PER'!E56="Territoire"),'Synthèse PER'!L56,0)</f>
        <v>0</v>
      </c>
      <c r="BN56" s="290">
        <f>IF(('Synthèse PER'!P56="A faire")*AND('Synthèse PER'!E56="Agriculture"),'Synthèse PER'!L56,0)</f>
        <v>0</v>
      </c>
      <c r="BO56" s="290">
        <f>IF(('Synthèse PER'!P56="A faire")*AND('Synthèse PER'!E56="Industrie"),'Synthèse PER'!L56,0)</f>
        <v>0</v>
      </c>
      <c r="BP56" s="290">
        <f>IF(('Synthèse PER'!P56="A faire")*AND('Synthèse PER'!E56="Logement"),'Synthèse PER'!L56,0)</f>
        <v>0</v>
      </c>
      <c r="BQ56" s="290">
        <f>IF(('Synthèse PER'!P56="A faire")*AND('Synthèse PER'!E56="Tertiaire"),'Synthèse PER'!L56,0)</f>
        <v>0</v>
      </c>
      <c r="BR56" s="290">
        <f>IF(('Synthèse PER'!P56="A faire")*AND('Synthèse PER'!E56="Transport"),'Synthèse PER'!L56,0)</f>
        <v>0</v>
      </c>
      <c r="BS56" s="290">
        <f>IF(('Synthèse PER'!P56="A faire")*AND('Synthèse PER'!E56="Communal"),'Synthèse PER'!L56,0)</f>
        <v>0</v>
      </c>
      <c r="BT56" s="290">
        <f>IF(('Synthèse PER'!Q56="A faire")*AND('Synthèse PER'!F56="Communal"),'Synthèse PER'!M56,0)</f>
        <v>0</v>
      </c>
    </row>
    <row r="57" spans="1:72" s="139" customFormat="1" x14ac:dyDescent="0.25">
      <c r="A57" s="369" t="s">
        <v>101</v>
      </c>
      <c r="B57" s="481" t="str">
        <f>'ADU-25'!B$3:E$3</f>
        <v>Performance énergétique</v>
      </c>
      <c r="C57" s="419" t="str">
        <f>'ADU-25'!$B$8</f>
        <v>Logement privés</v>
      </c>
      <c r="D57" s="133" t="str">
        <f>'ADU-25'!$B$9</f>
        <v>Renov'Energie</v>
      </c>
      <c r="E57" s="133" t="str">
        <f>'ADU-25'!$B$4</f>
        <v>Logement</v>
      </c>
      <c r="F57" s="133" t="str">
        <f>'ADU-25'!$B$12</f>
        <v>Citoyen</v>
      </c>
      <c r="G57" s="133" t="str">
        <f>'ADU-25'!$B$6</f>
        <v>ECOPÄCK</v>
      </c>
      <c r="H57" s="134">
        <f>'ADU-25'!$B$17</f>
        <v>825000</v>
      </c>
      <c r="I57" s="133" t="str">
        <f>'ADU-25'!$B$7</f>
        <v>Primes RW</v>
      </c>
      <c r="J57" s="134">
        <f>'ADU-25'!$B$18</f>
        <v>66000</v>
      </c>
      <c r="K57" s="134">
        <f>'ADU-25'!$B$21</f>
        <v>96673.618576483626</v>
      </c>
      <c r="L57" s="134">
        <f>'ADU-25'!$B$22</f>
        <v>0</v>
      </c>
      <c r="M57" s="135">
        <f>'ADU-25'!$B$24</f>
        <v>7.8511595115219031</v>
      </c>
      <c r="N57" s="135">
        <f>'ADU-25'!$B$19/1000</f>
        <v>1124.1118439126003</v>
      </c>
      <c r="O57" s="136"/>
      <c r="P57" s="137" t="str">
        <f>'ADU-25'!$B$5</f>
        <v>A faire</v>
      </c>
      <c r="Q57" s="140">
        <f>'ADU-25'!$B$16</f>
        <v>2023</v>
      </c>
      <c r="R57" s="283" t="str">
        <f>IF(P57="terminé", N57,"")</f>
        <v/>
      </c>
      <c r="S57" s="138">
        <f t="shared" si="9"/>
        <v>0</v>
      </c>
      <c r="T57" s="138">
        <f t="shared" si="10"/>
        <v>0</v>
      </c>
      <c r="U57" s="138">
        <f t="shared" si="11"/>
        <v>0</v>
      </c>
      <c r="V57" s="138">
        <f t="shared" si="12"/>
        <v>0</v>
      </c>
      <c r="W57" s="138">
        <f t="shared" si="13"/>
        <v>0</v>
      </c>
      <c r="X57" s="138">
        <f t="shared" si="14"/>
        <v>0</v>
      </c>
      <c r="Y57" s="138">
        <f t="shared" si="15"/>
        <v>0</v>
      </c>
      <c r="AA57" s="287">
        <f>IF(('Synthèse PER'!P57="A faire")*AND('Synthèse PER'!F57="Agriculture"),'Synthèse PER'!H57,0)</f>
        <v>0</v>
      </c>
      <c r="AB57" s="287">
        <f>IF(('Synthèse PER'!P57="A faire")*AND('Synthèse PER'!F57="Industrie"),'Synthèse PER'!H57,0)</f>
        <v>0</v>
      </c>
      <c r="AC57" s="287">
        <f>IF(('Synthèse PER'!P57="A faire")*AND('Synthèse PER'!F57="Citoyen"),'Synthèse PER'!H57,0)</f>
        <v>825000</v>
      </c>
      <c r="AD57" s="287">
        <f>IF(('Synthèse PER'!P57="A faire")*AND('Synthèse PER'!F57="IDELUX"),'Synthèse PER'!H57,0)</f>
        <v>0</v>
      </c>
      <c r="AE57" s="290">
        <f>IF(('Synthèse PER'!P57="A faire")*AND('Synthèse PER'!F57="AC MESSANCY"),'Synthèse PER'!H57,0)</f>
        <v>0</v>
      </c>
      <c r="AF57" s="287">
        <f>IF(('Synthèse PER'!P57="A faire")*AND('Synthèse PER'!F57="Tertiaire"),'Synthèse PER'!H57,0)</f>
        <v>0</v>
      </c>
      <c r="AG57" s="288"/>
      <c r="AH57" s="290">
        <f>IF(('Synthèse PER'!P57="A faire")*AND('Synthèse PER'!F57="Agriculture"),'Synthèse PER'!J57,0)</f>
        <v>0</v>
      </c>
      <c r="AI57" s="290">
        <f>IF(('Synthèse PER'!P57="A faire")*AND('Synthèse PER'!F57="Industrie"),'Synthèse PER'!J57,0)</f>
        <v>0</v>
      </c>
      <c r="AJ57" s="290">
        <f>IF(('Synthèse PER'!P57="A faire")*AND('Synthèse PER'!F57="Citoyen"),'Synthèse PER'!J57,0)</f>
        <v>66000</v>
      </c>
      <c r="AK57" s="290">
        <f>IF(('Synthèse PER'!P57="A faire")*AND('Synthèse PER'!F57="IDELUX"),'Synthèse PER'!J57,0)</f>
        <v>0</v>
      </c>
      <c r="AL57" s="290">
        <f>IF(('Synthèse PER'!P57="A faire")*AND('Synthèse PER'!F57="AC MESSANCY"),'Synthèse PER'!J57,0)</f>
        <v>0</v>
      </c>
      <c r="AM57" s="290">
        <f>IF(('Synthèse PER'!P57="A faire")*AND('Synthèse PER'!F57="Tertiaire"),'Synthèse PER'!J57,0)</f>
        <v>0</v>
      </c>
      <c r="AN57" s="288"/>
      <c r="AO57" s="290">
        <f>IF(('Synthèse PER'!P57="A faire")*AND('Synthèse PER'!E57="Territoire"),'Synthèse PER'!H57,0)</f>
        <v>0</v>
      </c>
      <c r="AP57" s="290">
        <f>IF(('Synthèse PER'!P57="A faire")*AND('Synthèse PER'!E57="Agriculture"),'Synthèse PER'!H57,0)</f>
        <v>0</v>
      </c>
      <c r="AQ57" s="290">
        <f>IF(('Synthèse PER'!P57="A faire")*AND('Synthèse PER'!E57="Industrie"),'Synthèse PER'!H57,0)</f>
        <v>0</v>
      </c>
      <c r="AR57" s="290">
        <f>IF(('Synthèse PER'!P57="A faire")*AND('Synthèse PER'!E57="Logement"),'Synthèse PER'!H57,0)</f>
        <v>825000</v>
      </c>
      <c r="AS57" s="290">
        <f>IF(('Synthèse PER'!P57="A faire")*AND('Synthèse PER'!E57="Tertiaire"),'Synthèse PER'!H57,0)</f>
        <v>0</v>
      </c>
      <c r="AT57" s="290">
        <f>IF(('Synthèse PER'!P57="A faire")*AND('Synthèse PER'!E57="Transport"),'Synthèse PER'!H57,0)</f>
        <v>0</v>
      </c>
      <c r="AU57" s="290">
        <f>IF(('Synthèse PER'!P57="A faire")*AND('Synthèse PER'!E57="Communal"),'Synthèse PER'!H57,0)</f>
        <v>0</v>
      </c>
      <c r="AV57" s="288"/>
      <c r="AW57" s="290">
        <f>IF(('Synthèse PER'!P57="A faire")*AND('Synthèse PER'!E57="Territoire"),'Synthèse PER'!J57,0)</f>
        <v>0</v>
      </c>
      <c r="AX57" s="290">
        <f>IF(('Synthèse PER'!P57="A faire")*AND('Synthèse PER'!E57="Agriculture"),'Synthèse PER'!J57,0)</f>
        <v>0</v>
      </c>
      <c r="AY57" s="290">
        <f>IF(('Synthèse PER'!P57="A faire")*AND('Synthèse PER'!E57="Industrie"),'Synthèse PER'!J57,0)</f>
        <v>0</v>
      </c>
      <c r="AZ57" s="290">
        <f>IF(('Synthèse PER'!P57="A faire")*AND('Synthèse PER'!E57="Logement"),'Synthèse PER'!J57,0)</f>
        <v>66000</v>
      </c>
      <c r="BA57" s="290">
        <f>IF(('Synthèse PER'!P57="A faire")*AND('Synthèse PER'!E57="Tertiaire"),'Synthèse PER'!J57,0)</f>
        <v>0</v>
      </c>
      <c r="BB57" s="290">
        <f>IF(('Synthèse PER'!P57="A faire")*AND('Synthèse PER'!E57="Transport"),'Synthèse PER'!J57,0)</f>
        <v>0</v>
      </c>
      <c r="BC57" s="290">
        <f>IF(('Synthèse PER'!P57="A faire")*AND('Synthèse PER'!E57="Communal"),'Synthèse PER'!J57,0)</f>
        <v>0</v>
      </c>
      <c r="BD57" s="288"/>
      <c r="BE57" s="290">
        <f>IF(('Synthèse PER'!P57="A faire")*AND('Synthèse PER'!E57="Territoire"),'Synthèse PER'!K57,0)</f>
        <v>0</v>
      </c>
      <c r="BF57" s="290">
        <f>IF(('Synthèse PER'!P57="A faire")*AND('Synthèse PER'!E57="Agriculture"),'Synthèse PER'!K57,0)</f>
        <v>0</v>
      </c>
      <c r="BG57" s="290">
        <f>IF(('Synthèse PER'!P57="A faire")*AND('Synthèse PER'!E57="Industrie"),'Synthèse PER'!K57,0)</f>
        <v>0</v>
      </c>
      <c r="BH57" s="290">
        <f>IF(('Synthèse PER'!P57="A faire")*AND('Synthèse PER'!E57="Logement"),'Synthèse PER'!K57,0)</f>
        <v>96673.618576483626</v>
      </c>
      <c r="BI57" s="290">
        <f>IF(('Synthèse PER'!P57="A faire")*AND('Synthèse PER'!E57="Tertiaire"),'Synthèse PER'!K57,0)</f>
        <v>0</v>
      </c>
      <c r="BJ57" s="290">
        <f>IF(('Synthèse PER'!P57="A faire")*AND('Synthèse PER'!E57="Transport"),'Synthèse PER'!K57,0)</f>
        <v>0</v>
      </c>
      <c r="BK57" s="290">
        <f>IF(('Synthèse PER'!P57="A faire")*AND('Synthèse PER'!E57="Communal"),'Synthèse PER'!K57,0)</f>
        <v>0</v>
      </c>
      <c r="BL57" s="288"/>
      <c r="BM57" s="290">
        <f>IF(('Synthèse PER'!P57="A faire")*AND('Synthèse PER'!E57="Territoire"),'Synthèse PER'!L57,0)</f>
        <v>0</v>
      </c>
      <c r="BN57" s="290">
        <f>IF(('Synthèse PER'!P57="A faire")*AND('Synthèse PER'!E57="Agriculture"),'Synthèse PER'!L57,0)</f>
        <v>0</v>
      </c>
      <c r="BO57" s="290">
        <f>IF(('Synthèse PER'!P57="A faire")*AND('Synthèse PER'!E57="Industrie"),'Synthèse PER'!L57,0)</f>
        <v>0</v>
      </c>
      <c r="BP57" s="290">
        <f>IF(('Synthèse PER'!P57="A faire")*AND('Synthèse PER'!E57="Logement"),'Synthèse PER'!L57,0)</f>
        <v>0</v>
      </c>
      <c r="BQ57" s="290">
        <f>IF(('Synthèse PER'!P57="A faire")*AND('Synthèse PER'!E57="Tertiaire"),'Synthèse PER'!L57,0)</f>
        <v>0</v>
      </c>
      <c r="BR57" s="290">
        <f>IF(('Synthèse PER'!P57="A faire")*AND('Synthèse PER'!E57="Transport"),'Synthèse PER'!L57,0)</f>
        <v>0</v>
      </c>
      <c r="BS57" s="290">
        <f>IF(('Synthèse PER'!P57="A faire")*AND('Synthèse PER'!E57="Communal"),'Synthèse PER'!L57,0)</f>
        <v>0</v>
      </c>
      <c r="BT57" s="290">
        <f>IF(('Synthèse PER'!Q57="A faire")*AND('Synthèse PER'!F57="Communal"),'Synthèse PER'!M57,0)</f>
        <v>0</v>
      </c>
    </row>
    <row r="58" spans="1:72" s="139" customFormat="1" x14ac:dyDescent="0.25">
      <c r="A58" s="369" t="s">
        <v>190</v>
      </c>
      <c r="B58" s="578" t="str">
        <f>'ADU-26'!B$3:E$3</f>
        <v>Performance énergétique</v>
      </c>
      <c r="C58" s="419" t="str">
        <f>'ADU-26'!$B$8</f>
        <v>Processus de fabrication</v>
      </c>
      <c r="D58" s="133" t="str">
        <f>'ADU-26'!$B$9</f>
        <v>Economies d'énergie</v>
      </c>
      <c r="E58" s="133" t="str">
        <f>'ADU-26'!$B$4</f>
        <v>Industrie</v>
      </c>
      <c r="F58" s="133" t="str">
        <f>'ADU-26'!$B$12</f>
        <v>Industrie</v>
      </c>
      <c r="G58" s="133" t="str">
        <f>'ADU-26'!$B$6</f>
        <v>Fonds propres</v>
      </c>
      <c r="H58" s="134">
        <f>'ADU-26'!$B$17</f>
        <v>20000</v>
      </c>
      <c r="I58" s="133" t="str">
        <f>'ADU-26'!$B$7</f>
        <v>Néant</v>
      </c>
      <c r="J58" s="134">
        <f>'ADU-26'!$B$18</f>
        <v>0</v>
      </c>
      <c r="K58" s="134">
        <f>'ADU-26'!$B$21</f>
        <v>0</v>
      </c>
      <c r="L58" s="134">
        <f>'ADU-26'!$B$22</f>
        <v>0</v>
      </c>
      <c r="M58" s="135" t="e">
        <f>'ADU-26'!$B$24</f>
        <v>#DIV/0!</v>
      </c>
      <c r="N58" s="135">
        <f>'ADU-26'!$B$19/1000</f>
        <v>0</v>
      </c>
      <c r="O58" s="136"/>
      <c r="P58" s="137" t="str">
        <f>'ADU-26'!$B$5</f>
        <v>Terminé</v>
      </c>
      <c r="Q58" s="140">
        <f>'ADU-26'!$B$16</f>
        <v>2019</v>
      </c>
      <c r="R58" s="283">
        <f t="shared" ref="R58:R60" si="48">IF(P58="terminé", N58,"")</f>
        <v>0</v>
      </c>
      <c r="S58" s="138">
        <f t="shared" ref="S58:S60" si="49">IF((P58="Terminé")*AND(E58="Territoire"),N58,0)</f>
        <v>0</v>
      </c>
      <c r="T58" s="138">
        <f t="shared" ref="T58:T60" si="50">IF((P58="Terminé")*AND(E58="Agriculture"),N58,0)</f>
        <v>0</v>
      </c>
      <c r="U58" s="138">
        <f t="shared" ref="U58:U60" si="51">IF((P58="Terminé")*AND(E58="Industrie"), N58,0)</f>
        <v>0</v>
      </c>
      <c r="V58" s="138">
        <f t="shared" ref="V58:V60" si="52">IF((P58="Terminé")*AND(E58="Logement"),N58,0)</f>
        <v>0</v>
      </c>
      <c r="W58" s="138">
        <f t="shared" ref="W58:W60" si="53">IF((P58="Terminé")*AND(E58="Tertiaire"),N58,0)</f>
        <v>0</v>
      </c>
      <c r="X58" s="138">
        <f t="shared" ref="X58:X60" si="54">IF((P58="Terminé")*AND(E58="Transport"),N58,0)</f>
        <v>0</v>
      </c>
      <c r="Y58" s="138">
        <f t="shared" ref="Y58:Y60" si="55">IF((P58="Terminé")*AND(E58="Communal"),N58,0)</f>
        <v>0</v>
      </c>
      <c r="AA58" s="287">
        <f>IF(('Synthèse PER'!P58="A faire")*AND('Synthèse PER'!F58="Agriculture"),'Synthèse PER'!H58,0)</f>
        <v>0</v>
      </c>
      <c r="AB58" s="287">
        <f>IF(('Synthèse PER'!P58="A faire")*AND('Synthèse PER'!F58="Industrie"),'Synthèse PER'!H58,0)</f>
        <v>0</v>
      </c>
      <c r="AC58" s="287">
        <f>IF(('Synthèse PER'!P58="A faire")*AND('Synthèse PER'!F58="Citoyen"),'Synthèse PER'!H58,0)</f>
        <v>0</v>
      </c>
      <c r="AD58" s="287">
        <f>IF(('Synthèse PER'!P58="A faire")*AND('Synthèse PER'!F58="IDELUX"),'Synthèse PER'!H58,0)</f>
        <v>0</v>
      </c>
      <c r="AE58" s="290">
        <f>IF(('Synthèse PER'!P58="A faire")*AND('Synthèse PER'!F58="AC MESSANCY"),'Synthèse PER'!H58,0)</f>
        <v>0</v>
      </c>
      <c r="AF58" s="287">
        <f>IF(('Synthèse PER'!P58="A faire")*AND('Synthèse PER'!F58="Tertiaire"),'Synthèse PER'!H58,0)</f>
        <v>0</v>
      </c>
      <c r="AG58" s="288"/>
      <c r="AH58" s="290">
        <f>IF(('Synthèse PER'!P58="A faire")*AND('Synthèse PER'!F58="Agriculture"),'Synthèse PER'!J58,0)</f>
        <v>0</v>
      </c>
      <c r="AI58" s="290">
        <f>IF(('Synthèse PER'!P58="A faire")*AND('Synthèse PER'!F58="Industrie"),'Synthèse PER'!J58,0)</f>
        <v>0</v>
      </c>
      <c r="AJ58" s="290">
        <f>IF(('Synthèse PER'!P58="A faire")*AND('Synthèse PER'!F58="Citoyen"),'Synthèse PER'!J58,0)</f>
        <v>0</v>
      </c>
      <c r="AK58" s="290">
        <f>IF(('Synthèse PER'!P58="A faire")*AND('Synthèse PER'!F58="IDELUX"),'Synthèse PER'!J58,0)</f>
        <v>0</v>
      </c>
      <c r="AL58" s="290">
        <f>IF(('Synthèse PER'!P58="A faire")*AND('Synthèse PER'!F58="AC MESSANCY"),'Synthèse PER'!J58,0)</f>
        <v>0</v>
      </c>
      <c r="AM58" s="290">
        <f>IF(('Synthèse PER'!P58="A faire")*AND('Synthèse PER'!F58="Tertiaire"),'Synthèse PER'!J58,0)</f>
        <v>0</v>
      </c>
      <c r="AN58" s="288"/>
      <c r="AO58" s="290">
        <f>IF(('Synthèse PER'!P58="A faire")*AND('Synthèse PER'!E58="Territoire"),'Synthèse PER'!H58,0)</f>
        <v>0</v>
      </c>
      <c r="AP58" s="290">
        <f>IF(('Synthèse PER'!P58="A faire")*AND('Synthèse PER'!E58="Agriculture"),'Synthèse PER'!H58,0)</f>
        <v>0</v>
      </c>
      <c r="AQ58" s="290">
        <f>IF(('Synthèse PER'!P58="A faire")*AND('Synthèse PER'!E58="Industrie"),'Synthèse PER'!H58,0)</f>
        <v>0</v>
      </c>
      <c r="AR58" s="290">
        <f>IF(('Synthèse PER'!P58="A faire")*AND('Synthèse PER'!E58="Logement"),'Synthèse PER'!H58,0)</f>
        <v>0</v>
      </c>
      <c r="AS58" s="290">
        <f>IF(('Synthèse PER'!P58="A faire")*AND('Synthèse PER'!E58="Tertiaire"),'Synthèse PER'!H58,0)</f>
        <v>0</v>
      </c>
      <c r="AT58" s="290">
        <f>IF(('Synthèse PER'!P58="A faire")*AND('Synthèse PER'!E58="Transport"),'Synthèse PER'!H58,0)</f>
        <v>0</v>
      </c>
      <c r="AU58" s="290">
        <f>IF(('Synthèse PER'!P58="A faire")*AND('Synthèse PER'!E58="Communal"),'Synthèse PER'!H58,0)</f>
        <v>0</v>
      </c>
      <c r="AV58" s="288"/>
      <c r="AW58" s="290">
        <f>IF(('Synthèse PER'!P58="A faire")*AND('Synthèse PER'!E58="Territoire"),'Synthèse PER'!J58,0)</f>
        <v>0</v>
      </c>
      <c r="AX58" s="290">
        <f>IF(('Synthèse PER'!P58="A faire")*AND('Synthèse PER'!E58="Agriculture"),'Synthèse PER'!J58,0)</f>
        <v>0</v>
      </c>
      <c r="AY58" s="290">
        <f>IF(('Synthèse PER'!P58="A faire")*AND('Synthèse PER'!E58="Industrie"),'Synthèse PER'!J58,0)</f>
        <v>0</v>
      </c>
      <c r="AZ58" s="290">
        <f>IF(('Synthèse PER'!P58="A faire")*AND('Synthèse PER'!E58="Logement"),'Synthèse PER'!J58,0)</f>
        <v>0</v>
      </c>
      <c r="BA58" s="290">
        <f>IF(('Synthèse PER'!P58="A faire")*AND('Synthèse PER'!E58="Tertiaire"),'Synthèse PER'!J58,0)</f>
        <v>0</v>
      </c>
      <c r="BB58" s="290">
        <f>IF(('Synthèse PER'!P58="A faire")*AND('Synthèse PER'!E58="Transport"),'Synthèse PER'!J58,0)</f>
        <v>0</v>
      </c>
      <c r="BC58" s="290">
        <f>IF(('Synthèse PER'!P58="A faire")*AND('Synthèse PER'!E58="Communal"),'Synthèse PER'!J58,0)</f>
        <v>0</v>
      </c>
      <c r="BD58" s="288"/>
      <c r="BE58" s="290">
        <f>IF(('Synthèse PER'!P58="A faire")*AND('Synthèse PER'!E58="Territoire"),'Synthèse PER'!K58,0)</f>
        <v>0</v>
      </c>
      <c r="BF58" s="290">
        <f>IF(('Synthèse PER'!P58="A faire")*AND('Synthèse PER'!E58="Agriculture"),'Synthèse PER'!K58,0)</f>
        <v>0</v>
      </c>
      <c r="BG58" s="290">
        <f>IF(('Synthèse PER'!P58="A faire")*AND('Synthèse PER'!E58="Industrie"),'Synthèse PER'!K58,0)</f>
        <v>0</v>
      </c>
      <c r="BH58" s="290">
        <f>IF(('Synthèse PER'!P58="A faire")*AND('Synthèse PER'!E58="Logement"),'Synthèse PER'!K58,0)</f>
        <v>0</v>
      </c>
      <c r="BI58" s="290">
        <f>IF(('Synthèse PER'!P58="A faire")*AND('Synthèse PER'!E58="Tertiaire"),'Synthèse PER'!K58,0)</f>
        <v>0</v>
      </c>
      <c r="BJ58" s="290">
        <f>IF(('Synthèse PER'!P58="A faire")*AND('Synthèse PER'!E58="Transport"),'Synthèse PER'!K58,0)</f>
        <v>0</v>
      </c>
      <c r="BK58" s="290">
        <f>IF(('Synthèse PER'!P58="A faire")*AND('Synthèse PER'!E58="Communal"),'Synthèse PER'!K58,0)</f>
        <v>0</v>
      </c>
      <c r="BL58" s="288"/>
      <c r="BM58" s="290">
        <f>IF(('Synthèse PER'!P58="A faire")*AND('Synthèse PER'!E58="Territoire"),'Synthèse PER'!L58,0)</f>
        <v>0</v>
      </c>
      <c r="BN58" s="290">
        <f>IF(('Synthèse PER'!P58="A faire")*AND('Synthèse PER'!E58="Agriculture"),'Synthèse PER'!L58,0)</f>
        <v>0</v>
      </c>
      <c r="BO58" s="290">
        <f>IF(('Synthèse PER'!P58="A faire")*AND('Synthèse PER'!E58="Industrie"),'Synthèse PER'!L58,0)</f>
        <v>0</v>
      </c>
      <c r="BP58" s="290">
        <f>IF(('Synthèse PER'!P58="A faire")*AND('Synthèse PER'!E58="Logement"),'Synthèse PER'!L58,0)</f>
        <v>0</v>
      </c>
      <c r="BQ58" s="290">
        <f>IF(('Synthèse PER'!P58="A faire")*AND('Synthèse PER'!E58="Tertiaire"),'Synthèse PER'!L58,0)</f>
        <v>0</v>
      </c>
      <c r="BR58" s="290">
        <f>IF(('Synthèse PER'!P58="A faire")*AND('Synthèse PER'!E58="Transport"),'Synthèse PER'!L58,0)</f>
        <v>0</v>
      </c>
      <c r="BS58" s="290">
        <f>IF(('Synthèse PER'!P58="A faire")*AND('Synthèse PER'!E58="Communal"),'Synthèse PER'!L58,0)</f>
        <v>0</v>
      </c>
      <c r="BT58" s="290"/>
    </row>
    <row r="59" spans="1:72" s="139" customFormat="1" x14ac:dyDescent="0.25">
      <c r="A59" s="369" t="s">
        <v>191</v>
      </c>
      <c r="B59" s="578" t="str">
        <f>'ADU-27'!B$3:E$3</f>
        <v>Performance énergétique</v>
      </c>
      <c r="C59" s="419" t="str">
        <f>'ADU-27'!$B$8</f>
        <v>Processus de fabrication</v>
      </c>
      <c r="D59" s="133" t="str">
        <f>'ADU-27'!$B$9</f>
        <v>Economies d'énergie</v>
      </c>
      <c r="E59" s="133" t="str">
        <f>'ADU-27'!$B$4</f>
        <v>Industrie</v>
      </c>
      <c r="F59" s="133" t="str">
        <f>'ADU-27'!$B$12</f>
        <v>Industrie</v>
      </c>
      <c r="G59" s="133" t="str">
        <f>'ADU-27'!$B$6</f>
        <v>Fonds propres</v>
      </c>
      <c r="H59" s="134">
        <f>'ADU-27'!$B$17</f>
        <v>20000</v>
      </c>
      <c r="I59" s="133" t="str">
        <f>'ADU-27'!$B$7</f>
        <v>Néant</v>
      </c>
      <c r="J59" s="134">
        <f>'ADU-27'!$B$18</f>
        <v>0</v>
      </c>
      <c r="K59" s="134">
        <f>'ADU-27'!$B$21</f>
        <v>0</v>
      </c>
      <c r="L59" s="134">
        <f>'ADU-27'!$B$22</f>
        <v>0</v>
      </c>
      <c r="M59" s="135" t="e">
        <f>'ADU-27'!$B$24</f>
        <v>#DIV/0!</v>
      </c>
      <c r="N59" s="135">
        <f>'ADU-27'!$B$19/1000</f>
        <v>0</v>
      </c>
      <c r="O59" s="136"/>
      <c r="P59" s="137" t="str">
        <f>'ADU-27'!$B$5</f>
        <v>Terminé</v>
      </c>
      <c r="Q59" s="140">
        <f>'ADU-27'!$B$16</f>
        <v>2019</v>
      </c>
      <c r="R59" s="283">
        <f t="shared" si="48"/>
        <v>0</v>
      </c>
      <c r="S59" s="138">
        <f t="shared" si="49"/>
        <v>0</v>
      </c>
      <c r="T59" s="138">
        <f t="shared" si="50"/>
        <v>0</v>
      </c>
      <c r="U59" s="138">
        <f t="shared" si="51"/>
        <v>0</v>
      </c>
      <c r="V59" s="138">
        <f t="shared" si="52"/>
        <v>0</v>
      </c>
      <c r="W59" s="138">
        <f t="shared" si="53"/>
        <v>0</v>
      </c>
      <c r="X59" s="138">
        <f t="shared" si="54"/>
        <v>0</v>
      </c>
      <c r="Y59" s="138">
        <f t="shared" si="55"/>
        <v>0</v>
      </c>
      <c r="AA59" s="287">
        <f>IF(('Synthèse PER'!P59="A faire")*AND('Synthèse PER'!F59="Agriculture"),'Synthèse PER'!H59,0)</f>
        <v>0</v>
      </c>
      <c r="AB59" s="287">
        <f>IF(('Synthèse PER'!P59="A faire")*AND('Synthèse PER'!F59="Industrie"),'Synthèse PER'!H59,0)</f>
        <v>0</v>
      </c>
      <c r="AC59" s="287">
        <f>IF(('Synthèse PER'!P59="A faire")*AND('Synthèse PER'!F59="Citoyen"),'Synthèse PER'!H59,0)</f>
        <v>0</v>
      </c>
      <c r="AD59" s="287">
        <f>IF(('Synthèse PER'!P59="A faire")*AND('Synthèse PER'!F59="IDELUX"),'Synthèse PER'!H59,0)</f>
        <v>0</v>
      </c>
      <c r="AE59" s="290">
        <f>IF(('Synthèse PER'!P59="A faire")*AND('Synthèse PER'!F59="AC MESSANCY"),'Synthèse PER'!H59,0)</f>
        <v>0</v>
      </c>
      <c r="AF59" s="287">
        <f>IF(('Synthèse PER'!P59="A faire")*AND('Synthèse PER'!F59="Tertiaire"),'Synthèse PER'!H59,0)</f>
        <v>0</v>
      </c>
      <c r="AG59" s="288"/>
      <c r="AH59" s="290">
        <f>IF(('Synthèse PER'!P59="A faire")*AND('Synthèse PER'!F59="Agriculture"),'Synthèse PER'!J59,0)</f>
        <v>0</v>
      </c>
      <c r="AI59" s="290">
        <f>IF(('Synthèse PER'!P59="A faire")*AND('Synthèse PER'!F59="Industrie"),'Synthèse PER'!J59,0)</f>
        <v>0</v>
      </c>
      <c r="AJ59" s="290">
        <f>IF(('Synthèse PER'!P59="A faire")*AND('Synthèse PER'!F59="Citoyen"),'Synthèse PER'!J59,0)</f>
        <v>0</v>
      </c>
      <c r="AK59" s="290">
        <f>IF(('Synthèse PER'!P59="A faire")*AND('Synthèse PER'!F59="IDELUX"),'Synthèse PER'!J59,0)</f>
        <v>0</v>
      </c>
      <c r="AL59" s="290">
        <f>IF(('Synthèse PER'!P59="A faire")*AND('Synthèse PER'!F59="AC MESSANCY"),'Synthèse PER'!J59,0)</f>
        <v>0</v>
      </c>
      <c r="AM59" s="290">
        <f>IF(('Synthèse PER'!P59="A faire")*AND('Synthèse PER'!F59="Tertiaire"),'Synthèse PER'!J59,0)</f>
        <v>0</v>
      </c>
      <c r="AN59" s="288"/>
      <c r="AO59" s="290">
        <f>IF(('Synthèse PER'!P59="A faire")*AND('Synthèse PER'!E59="Territoire"),'Synthèse PER'!H59,0)</f>
        <v>0</v>
      </c>
      <c r="AP59" s="290">
        <f>IF(('Synthèse PER'!P59="A faire")*AND('Synthèse PER'!E59="Agriculture"),'Synthèse PER'!H59,0)</f>
        <v>0</v>
      </c>
      <c r="AQ59" s="290">
        <f>IF(('Synthèse PER'!P59="A faire")*AND('Synthèse PER'!E59="Industrie"),'Synthèse PER'!H59,0)</f>
        <v>0</v>
      </c>
      <c r="AR59" s="290">
        <f>IF(('Synthèse PER'!P59="A faire")*AND('Synthèse PER'!E59="Logement"),'Synthèse PER'!H59,0)</f>
        <v>0</v>
      </c>
      <c r="AS59" s="290">
        <f>IF(('Synthèse PER'!P59="A faire")*AND('Synthèse PER'!E59="Tertiaire"),'Synthèse PER'!H59,0)</f>
        <v>0</v>
      </c>
      <c r="AT59" s="290">
        <f>IF(('Synthèse PER'!P59="A faire")*AND('Synthèse PER'!E59="Transport"),'Synthèse PER'!H59,0)</f>
        <v>0</v>
      </c>
      <c r="AU59" s="290">
        <f>IF(('Synthèse PER'!P59="A faire")*AND('Synthèse PER'!E59="Communal"),'Synthèse PER'!H59,0)</f>
        <v>0</v>
      </c>
      <c r="AV59" s="288"/>
      <c r="AW59" s="290">
        <f>IF(('Synthèse PER'!P59="A faire")*AND('Synthèse PER'!E59="Territoire"),'Synthèse PER'!J59,0)</f>
        <v>0</v>
      </c>
      <c r="AX59" s="290">
        <f>IF(('Synthèse PER'!P59="A faire")*AND('Synthèse PER'!E59="Agriculture"),'Synthèse PER'!J59,0)</f>
        <v>0</v>
      </c>
      <c r="AY59" s="290">
        <f>IF(('Synthèse PER'!P59="A faire")*AND('Synthèse PER'!E59="Industrie"),'Synthèse PER'!J59,0)</f>
        <v>0</v>
      </c>
      <c r="AZ59" s="290">
        <f>IF(('Synthèse PER'!P59="A faire")*AND('Synthèse PER'!E59="Logement"),'Synthèse PER'!J59,0)</f>
        <v>0</v>
      </c>
      <c r="BA59" s="290">
        <f>IF(('Synthèse PER'!P59="A faire")*AND('Synthèse PER'!E59="Tertiaire"),'Synthèse PER'!J59,0)</f>
        <v>0</v>
      </c>
      <c r="BB59" s="290">
        <f>IF(('Synthèse PER'!P59="A faire")*AND('Synthèse PER'!E59="Transport"),'Synthèse PER'!J59,0)</f>
        <v>0</v>
      </c>
      <c r="BC59" s="290">
        <f>IF(('Synthèse PER'!P59="A faire")*AND('Synthèse PER'!E59="Communal"),'Synthèse PER'!J59,0)</f>
        <v>0</v>
      </c>
      <c r="BD59" s="288"/>
      <c r="BE59" s="290">
        <f>IF(('Synthèse PER'!P59="A faire")*AND('Synthèse PER'!E59="Territoire"),'Synthèse PER'!K59,0)</f>
        <v>0</v>
      </c>
      <c r="BF59" s="290">
        <f>IF(('Synthèse PER'!P59="A faire")*AND('Synthèse PER'!E59="Agriculture"),'Synthèse PER'!K59,0)</f>
        <v>0</v>
      </c>
      <c r="BG59" s="290">
        <f>IF(('Synthèse PER'!P59="A faire")*AND('Synthèse PER'!E59="Industrie"),'Synthèse PER'!K59,0)</f>
        <v>0</v>
      </c>
      <c r="BH59" s="290">
        <f>IF(('Synthèse PER'!P59="A faire")*AND('Synthèse PER'!E59="Logement"),'Synthèse PER'!K59,0)</f>
        <v>0</v>
      </c>
      <c r="BI59" s="290">
        <f>IF(('Synthèse PER'!P59="A faire")*AND('Synthèse PER'!E59="Tertiaire"),'Synthèse PER'!K59,0)</f>
        <v>0</v>
      </c>
      <c r="BJ59" s="290">
        <f>IF(('Synthèse PER'!P59="A faire")*AND('Synthèse PER'!E59="Transport"),'Synthèse PER'!K59,0)</f>
        <v>0</v>
      </c>
      <c r="BK59" s="290">
        <f>IF(('Synthèse PER'!P59="A faire")*AND('Synthèse PER'!E59="Communal"),'Synthèse PER'!K59,0)</f>
        <v>0</v>
      </c>
      <c r="BL59" s="288"/>
      <c r="BM59" s="290">
        <f>IF(('Synthèse PER'!P59="A faire")*AND('Synthèse PER'!E59="Territoire"),'Synthèse PER'!L59,0)</f>
        <v>0</v>
      </c>
      <c r="BN59" s="290">
        <f>IF(('Synthèse PER'!P59="A faire")*AND('Synthèse PER'!E59="Agriculture"),'Synthèse PER'!L59,0)</f>
        <v>0</v>
      </c>
      <c r="BO59" s="290">
        <f>IF(('Synthèse PER'!P59="A faire")*AND('Synthèse PER'!E59="Industrie"),'Synthèse PER'!L59,0)</f>
        <v>0</v>
      </c>
      <c r="BP59" s="290">
        <f>IF(('Synthèse PER'!P59="A faire")*AND('Synthèse PER'!E59="Logement"),'Synthèse PER'!L59,0)</f>
        <v>0</v>
      </c>
      <c r="BQ59" s="290">
        <f>IF(('Synthèse PER'!P59="A faire")*AND('Synthèse PER'!E59="Tertiaire"),'Synthèse PER'!L59,0)</f>
        <v>0</v>
      </c>
      <c r="BR59" s="290">
        <f>IF(('Synthèse PER'!P59="A faire")*AND('Synthèse PER'!E59="Transport"),'Synthèse PER'!L59,0)</f>
        <v>0</v>
      </c>
      <c r="BS59" s="290">
        <f>IF(('Synthèse PER'!P59="A faire")*AND('Synthèse PER'!E59="Communal"),'Synthèse PER'!L59,0)</f>
        <v>0</v>
      </c>
      <c r="BT59" s="290"/>
    </row>
    <row r="60" spans="1:72" s="139" customFormat="1" x14ac:dyDescent="0.25">
      <c r="A60" s="369" t="s">
        <v>208</v>
      </c>
      <c r="B60" s="578" t="str">
        <f>'ADU-28'!B$3:E$3</f>
        <v>Performance énergétique</v>
      </c>
      <c r="C60" s="419" t="str">
        <f>'ADU-28'!$B$8</f>
        <v>Bâtiments tertiaires</v>
      </c>
      <c r="D60" s="133" t="str">
        <f>'ADU-28'!$B$9</f>
        <v>Performance énergétique</v>
      </c>
      <c r="E60" s="133" t="str">
        <f>'ADU-28'!$B$4</f>
        <v>Tertiaire</v>
      </c>
      <c r="F60" s="133" t="str">
        <f>'ADU-28'!$B$12</f>
        <v>Tertiaire</v>
      </c>
      <c r="G60" s="133" t="str">
        <f>'ADU-28'!$B$6</f>
        <v>Fonds propres</v>
      </c>
      <c r="H60" s="134">
        <f>'ADU-28'!$B$17</f>
        <v>20000</v>
      </c>
      <c r="I60" s="133" t="str">
        <f>'ADU-28'!$B$7</f>
        <v>Néant</v>
      </c>
      <c r="J60" s="134">
        <f>'ADU-28'!$B$18</f>
        <v>0</v>
      </c>
      <c r="K60" s="134">
        <f>'ADU-28'!$B$21</f>
        <v>0</v>
      </c>
      <c r="L60" s="134">
        <f>'ADU-28'!$B$22</f>
        <v>0</v>
      </c>
      <c r="M60" s="135" t="e">
        <f>'ADU-28'!$B$24</f>
        <v>#DIV/0!</v>
      </c>
      <c r="N60" s="135">
        <f>'ADU-28'!$B$19/1000</f>
        <v>0</v>
      </c>
      <c r="O60" s="136"/>
      <c r="P60" s="137" t="str">
        <f>'ADU-28'!$B$5</f>
        <v>Terminé</v>
      </c>
      <c r="Q60" s="140">
        <f>'ADU-28'!$B$16</f>
        <v>2019</v>
      </c>
      <c r="R60" s="283">
        <f t="shared" si="48"/>
        <v>0</v>
      </c>
      <c r="S60" s="138">
        <f t="shared" si="49"/>
        <v>0</v>
      </c>
      <c r="T60" s="138">
        <f t="shared" si="50"/>
        <v>0</v>
      </c>
      <c r="U60" s="138">
        <f t="shared" si="51"/>
        <v>0</v>
      </c>
      <c r="V60" s="138">
        <f t="shared" si="52"/>
        <v>0</v>
      </c>
      <c r="W60" s="138">
        <f t="shared" si="53"/>
        <v>0</v>
      </c>
      <c r="X60" s="138">
        <f t="shared" si="54"/>
        <v>0</v>
      </c>
      <c r="Y60" s="138">
        <f t="shared" si="55"/>
        <v>0</v>
      </c>
      <c r="AA60" s="287">
        <f>IF(('Synthèse PER'!P60="A faire")*AND('Synthèse PER'!F60="Agriculture"),'Synthèse PER'!H60,0)</f>
        <v>0</v>
      </c>
      <c r="AB60" s="287">
        <f>IF(('Synthèse PER'!P60="A faire")*AND('Synthèse PER'!F60="Industrie"),'Synthèse PER'!H60,0)</f>
        <v>0</v>
      </c>
      <c r="AC60" s="287">
        <f>IF(('Synthèse PER'!P60="A faire")*AND('Synthèse PER'!F60="Citoyen"),'Synthèse PER'!H60,0)</f>
        <v>0</v>
      </c>
      <c r="AD60" s="287">
        <f>IF(('Synthèse PER'!P60="A faire")*AND('Synthèse PER'!F60="IDELUX"),'Synthèse PER'!H60,0)</f>
        <v>0</v>
      </c>
      <c r="AE60" s="290">
        <f>IF(('Synthèse PER'!P60="A faire")*AND('Synthèse PER'!F60="AC MESSANCY"),'Synthèse PER'!H60,0)</f>
        <v>0</v>
      </c>
      <c r="AF60" s="287">
        <f>IF(('Synthèse PER'!P60="A faire")*AND('Synthèse PER'!F60="Tertiaire"),'Synthèse PER'!H60,0)</f>
        <v>0</v>
      </c>
      <c r="AG60" s="288"/>
      <c r="AH60" s="290">
        <f>IF(('Synthèse PER'!P60="A faire")*AND('Synthèse PER'!F60="Agriculture"),'Synthèse PER'!J60,0)</f>
        <v>0</v>
      </c>
      <c r="AI60" s="290">
        <f>IF(('Synthèse PER'!P60="A faire")*AND('Synthèse PER'!F60="Industrie"),'Synthèse PER'!J60,0)</f>
        <v>0</v>
      </c>
      <c r="AJ60" s="290">
        <f>IF(('Synthèse PER'!P60="A faire")*AND('Synthèse PER'!F60="Citoyen"),'Synthèse PER'!J60,0)</f>
        <v>0</v>
      </c>
      <c r="AK60" s="290">
        <f>IF(('Synthèse PER'!P60="A faire")*AND('Synthèse PER'!F60="IDELUX"),'Synthèse PER'!J60,0)</f>
        <v>0</v>
      </c>
      <c r="AL60" s="290">
        <f>IF(('Synthèse PER'!P60="A faire")*AND('Synthèse PER'!F60="AC MESSANCY"),'Synthèse PER'!J60,0)</f>
        <v>0</v>
      </c>
      <c r="AM60" s="290">
        <f>IF(('Synthèse PER'!P60="A faire")*AND('Synthèse PER'!F60="Tertiaire"),'Synthèse PER'!J60,0)</f>
        <v>0</v>
      </c>
      <c r="AN60" s="288"/>
      <c r="AO60" s="290">
        <f>IF(('Synthèse PER'!P60="A faire")*AND('Synthèse PER'!E60="Territoire"),'Synthèse PER'!H60,0)</f>
        <v>0</v>
      </c>
      <c r="AP60" s="290">
        <f>IF(('Synthèse PER'!P60="A faire")*AND('Synthèse PER'!E60="Agriculture"),'Synthèse PER'!H60,0)</f>
        <v>0</v>
      </c>
      <c r="AQ60" s="290">
        <f>IF(('Synthèse PER'!P60="A faire")*AND('Synthèse PER'!E60="Industrie"),'Synthèse PER'!H60,0)</f>
        <v>0</v>
      </c>
      <c r="AR60" s="290">
        <f>IF(('Synthèse PER'!P60="A faire")*AND('Synthèse PER'!E60="Logement"),'Synthèse PER'!H60,0)</f>
        <v>0</v>
      </c>
      <c r="AS60" s="290">
        <f>IF(('Synthèse PER'!P60="A faire")*AND('Synthèse PER'!E60="Tertiaire"),'Synthèse PER'!H60,0)</f>
        <v>0</v>
      </c>
      <c r="AT60" s="290">
        <f>IF(('Synthèse PER'!P60="A faire")*AND('Synthèse PER'!E60="Transport"),'Synthèse PER'!H60,0)</f>
        <v>0</v>
      </c>
      <c r="AU60" s="290">
        <f>IF(('Synthèse PER'!P60="A faire")*AND('Synthèse PER'!E60="Communal"),'Synthèse PER'!H60,0)</f>
        <v>0</v>
      </c>
      <c r="AV60" s="288"/>
      <c r="AW60" s="290">
        <f>IF(('Synthèse PER'!P60="A faire")*AND('Synthèse PER'!E60="Territoire"),'Synthèse PER'!J60,0)</f>
        <v>0</v>
      </c>
      <c r="AX60" s="290">
        <f>IF(('Synthèse PER'!P60="A faire")*AND('Synthèse PER'!E60="Agriculture"),'Synthèse PER'!J60,0)</f>
        <v>0</v>
      </c>
      <c r="AY60" s="290">
        <f>IF(('Synthèse PER'!P60="A faire")*AND('Synthèse PER'!E60="Industrie"),'Synthèse PER'!J60,0)</f>
        <v>0</v>
      </c>
      <c r="AZ60" s="290">
        <f>IF(('Synthèse PER'!P60="A faire")*AND('Synthèse PER'!E60="Logement"),'Synthèse PER'!J60,0)</f>
        <v>0</v>
      </c>
      <c r="BA60" s="290">
        <f>IF(('Synthèse PER'!P60="A faire")*AND('Synthèse PER'!E60="Tertiaire"),'Synthèse PER'!J60,0)</f>
        <v>0</v>
      </c>
      <c r="BB60" s="290">
        <f>IF(('Synthèse PER'!P60="A faire")*AND('Synthèse PER'!E60="Transport"),'Synthèse PER'!J60,0)</f>
        <v>0</v>
      </c>
      <c r="BC60" s="290">
        <f>IF(('Synthèse PER'!P60="A faire")*AND('Synthèse PER'!E60="Communal"),'Synthèse PER'!J60,0)</f>
        <v>0</v>
      </c>
      <c r="BD60" s="288"/>
      <c r="BE60" s="290">
        <f>IF(('Synthèse PER'!P60="A faire")*AND('Synthèse PER'!E60="Territoire"),'Synthèse PER'!K60,0)</f>
        <v>0</v>
      </c>
      <c r="BF60" s="290">
        <f>IF(('Synthèse PER'!P60="A faire")*AND('Synthèse PER'!E60="Agriculture"),'Synthèse PER'!K60,0)</f>
        <v>0</v>
      </c>
      <c r="BG60" s="290">
        <f>IF(('Synthèse PER'!P60="A faire")*AND('Synthèse PER'!E60="Industrie"),'Synthèse PER'!K60,0)</f>
        <v>0</v>
      </c>
      <c r="BH60" s="290">
        <f>IF(('Synthèse PER'!P60="A faire")*AND('Synthèse PER'!E60="Logement"),'Synthèse PER'!K60,0)</f>
        <v>0</v>
      </c>
      <c r="BI60" s="290">
        <f>IF(('Synthèse PER'!P60="A faire")*AND('Synthèse PER'!E60="Tertiaire"),'Synthèse PER'!K60,0)</f>
        <v>0</v>
      </c>
      <c r="BJ60" s="290">
        <f>IF(('Synthèse PER'!P60="A faire")*AND('Synthèse PER'!E60="Transport"),'Synthèse PER'!K60,0)</f>
        <v>0</v>
      </c>
      <c r="BK60" s="290">
        <f>IF(('Synthèse PER'!P60="A faire")*AND('Synthèse PER'!E60="Communal"),'Synthèse PER'!K60,0)</f>
        <v>0</v>
      </c>
      <c r="BL60" s="288"/>
      <c r="BM60" s="290">
        <f>IF(('Synthèse PER'!P60="A faire")*AND('Synthèse PER'!E60="Territoire"),'Synthèse PER'!L60,0)</f>
        <v>0</v>
      </c>
      <c r="BN60" s="290">
        <f>IF(('Synthèse PER'!P60="A faire")*AND('Synthèse PER'!E60="Agriculture"),'Synthèse PER'!L60,0)</f>
        <v>0</v>
      </c>
      <c r="BO60" s="290">
        <f>IF(('Synthèse PER'!P60="A faire")*AND('Synthèse PER'!E60="Industrie"),'Synthèse PER'!L60,0)</f>
        <v>0</v>
      </c>
      <c r="BP60" s="290">
        <f>IF(('Synthèse PER'!P60="A faire")*AND('Synthèse PER'!E60="Logement"),'Synthèse PER'!L60,0)</f>
        <v>0</v>
      </c>
      <c r="BQ60" s="290">
        <f>IF(('Synthèse PER'!P60="A faire")*AND('Synthèse PER'!E60="Tertiaire"),'Synthèse PER'!L60,0)</f>
        <v>0</v>
      </c>
      <c r="BR60" s="290">
        <f>IF(('Synthèse PER'!P60="A faire")*AND('Synthèse PER'!E60="Transport"),'Synthèse PER'!L60,0)</f>
        <v>0</v>
      </c>
      <c r="BS60" s="290">
        <f>IF(('Synthèse PER'!P60="A faire")*AND('Synthèse PER'!E60="Communal"),'Synthèse PER'!L60,0)</f>
        <v>0</v>
      </c>
      <c r="BT60" s="290"/>
    </row>
    <row r="61" spans="1:72" s="139" customFormat="1" x14ac:dyDescent="0.25">
      <c r="A61" s="369" t="s">
        <v>103</v>
      </c>
      <c r="B61" s="441" t="str">
        <f>'ADU-30'!B$3:E$3</f>
        <v>Performance énergétique</v>
      </c>
      <c r="C61" s="419" t="str">
        <f>'ADU-30'!$B$8</f>
        <v>Bâtiments communaux</v>
      </c>
      <c r="D61" s="133" t="str">
        <f>'ADU-30'!$B$9</f>
        <v>Economies d'énergie - Electricité</v>
      </c>
      <c r="E61" s="133" t="str">
        <f>'ADU-30'!$B$4</f>
        <v>Communal</v>
      </c>
      <c r="F61" s="133" t="str">
        <f>'ADU-30'!$B$12</f>
        <v>AC MESSANCY</v>
      </c>
      <c r="G61" s="133" t="str">
        <f>'ADU-30'!$B$6</f>
        <v>Fonds propres</v>
      </c>
      <c r="H61" s="134">
        <f>'ADU-30'!$B$17</f>
        <v>49927.199999999997</v>
      </c>
      <c r="I61" s="133" t="str">
        <f>'ADU-30'!$B$7</f>
        <v>Subs RW</v>
      </c>
      <c r="J61" s="134">
        <f>'ADU-30'!$B$18</f>
        <v>17474.996999999999</v>
      </c>
      <c r="K61" s="134">
        <f>'ADU-30'!$B$21</f>
        <v>11531.699999999999</v>
      </c>
      <c r="L61" s="134">
        <f>'ADU-30'!$B$22</f>
        <v>0</v>
      </c>
      <c r="M61" s="135">
        <f>'ADU-30'!$B$24</f>
        <v>2.8141733655922372</v>
      </c>
      <c r="N61" s="220">
        <f>'ADU-30'!$B$19/1000</f>
        <v>64.064999999999998</v>
      </c>
      <c r="O61" s="136">
        <f>IF(H61=0,0,N61/(H61-J61)*1000)</f>
        <v>1.9741340826692106</v>
      </c>
      <c r="P61" s="137" t="str">
        <f>'ADU-30'!$B$5</f>
        <v>A faire</v>
      </c>
      <c r="Q61" s="140">
        <f>'ADU-30'!$B$16</f>
        <v>2021</v>
      </c>
      <c r="R61" s="283" t="str">
        <f>IF(P61="terminé", N61,"")</f>
        <v/>
      </c>
      <c r="S61" s="138">
        <f t="shared" si="9"/>
        <v>0</v>
      </c>
      <c r="T61" s="138">
        <f t="shared" si="10"/>
        <v>0</v>
      </c>
      <c r="U61" s="138">
        <f t="shared" si="11"/>
        <v>0</v>
      </c>
      <c r="V61" s="138">
        <f t="shared" si="12"/>
        <v>0</v>
      </c>
      <c r="W61" s="138">
        <f t="shared" si="13"/>
        <v>0</v>
      </c>
      <c r="X61" s="138">
        <f t="shared" si="14"/>
        <v>0</v>
      </c>
      <c r="Y61" s="138">
        <f t="shared" si="15"/>
        <v>0</v>
      </c>
      <c r="AA61" s="287">
        <f>IF(('Synthèse PER'!P61="A faire")*AND('Synthèse PER'!F61="Agriculture"),'Synthèse PER'!H61,0)</f>
        <v>0</v>
      </c>
      <c r="AB61" s="287">
        <f>IF(('Synthèse PER'!P61="A faire")*AND('Synthèse PER'!F61="Industrie"),'Synthèse PER'!H61,0)</f>
        <v>0</v>
      </c>
      <c r="AC61" s="287">
        <f>IF(('Synthèse PER'!P61="A faire")*AND('Synthèse PER'!F61="Citoyen"),'Synthèse PER'!H61,0)</f>
        <v>0</v>
      </c>
      <c r="AD61" s="287">
        <f>IF(('Synthèse PER'!P61="A faire")*AND('Synthèse PER'!F61="IDELUX"),'Synthèse PER'!H61,0)</f>
        <v>0</v>
      </c>
      <c r="AE61" s="290">
        <f>IF(('Synthèse PER'!P61="A faire")*AND('Synthèse PER'!F61="AC MESSANCY"),'Synthèse PER'!H61,0)</f>
        <v>49927.199999999997</v>
      </c>
      <c r="AF61" s="287">
        <f>IF(('Synthèse PER'!P61="A faire")*AND('Synthèse PER'!F61="Tertiaire"),'Synthèse PER'!H61,0)</f>
        <v>0</v>
      </c>
      <c r="AG61" s="288"/>
      <c r="AH61" s="290">
        <f>IF(('Synthèse PER'!P61="A faire")*AND('Synthèse PER'!F61="Agriculture"),'Synthèse PER'!J61,0)</f>
        <v>0</v>
      </c>
      <c r="AI61" s="290">
        <f>IF(('Synthèse PER'!P61="A faire")*AND('Synthèse PER'!F61="Industrie"),'Synthèse PER'!J61,0)</f>
        <v>0</v>
      </c>
      <c r="AJ61" s="290">
        <f>IF(('Synthèse PER'!P61="A faire")*AND('Synthèse PER'!F61="Citoyen"),'Synthèse PER'!J61,0)</f>
        <v>0</v>
      </c>
      <c r="AK61" s="290">
        <f>IF(('Synthèse PER'!P61="A faire")*AND('Synthèse PER'!F61="IDELUX"),'Synthèse PER'!J61,0)</f>
        <v>0</v>
      </c>
      <c r="AL61" s="290">
        <f>IF(('Synthèse PER'!P61="A faire")*AND('Synthèse PER'!F61="AC MESSANCY"),'Synthèse PER'!J61,0)</f>
        <v>17474.996999999999</v>
      </c>
      <c r="AM61" s="290">
        <f>IF(('Synthèse PER'!P61="A faire")*AND('Synthèse PER'!F61="Tertiaire"),'Synthèse PER'!J61,0)</f>
        <v>0</v>
      </c>
      <c r="AN61" s="288"/>
      <c r="AO61" s="290">
        <f>IF(('Synthèse PER'!P61="A faire")*AND('Synthèse PER'!E61="Territoire"),'Synthèse PER'!H61,0)</f>
        <v>0</v>
      </c>
      <c r="AP61" s="290">
        <f>IF(('Synthèse PER'!P61="A faire")*AND('Synthèse PER'!E61="Agriculture"),'Synthèse PER'!H61,0)</f>
        <v>0</v>
      </c>
      <c r="AQ61" s="290">
        <f>IF(('Synthèse PER'!P61="A faire")*AND('Synthèse PER'!E61="Industrie"),'Synthèse PER'!H61,0)</f>
        <v>0</v>
      </c>
      <c r="AR61" s="290">
        <f>IF(('Synthèse PER'!P61="A faire")*AND('Synthèse PER'!E61="Logement"),'Synthèse PER'!H61,0)</f>
        <v>0</v>
      </c>
      <c r="AS61" s="290">
        <f>IF(('Synthèse PER'!P61="A faire")*AND('Synthèse PER'!E61="Tertiaire"),'Synthèse PER'!H61,0)</f>
        <v>0</v>
      </c>
      <c r="AT61" s="290">
        <f>IF(('Synthèse PER'!P61="A faire")*AND('Synthèse PER'!E61="Transport"),'Synthèse PER'!H61,0)</f>
        <v>0</v>
      </c>
      <c r="AU61" s="290">
        <f>IF(('Synthèse PER'!P61="A faire")*AND('Synthèse PER'!E61="Communal"),'Synthèse PER'!H61,0)</f>
        <v>49927.199999999997</v>
      </c>
      <c r="AV61" s="288"/>
      <c r="AW61" s="290">
        <f>IF(('Synthèse PER'!P61="A faire")*AND('Synthèse PER'!E61="Territoire"),'Synthèse PER'!J61,0)</f>
        <v>0</v>
      </c>
      <c r="AX61" s="290">
        <f>IF(('Synthèse PER'!P61="A faire")*AND('Synthèse PER'!E61="Agriculture"),'Synthèse PER'!J61,0)</f>
        <v>0</v>
      </c>
      <c r="AY61" s="290">
        <f>IF(('Synthèse PER'!P61="A faire")*AND('Synthèse PER'!E61="Industrie"),'Synthèse PER'!J61,0)</f>
        <v>0</v>
      </c>
      <c r="AZ61" s="290">
        <f>IF(('Synthèse PER'!P61="A faire")*AND('Synthèse PER'!E61="Logement"),'Synthèse PER'!J61,0)</f>
        <v>0</v>
      </c>
      <c r="BA61" s="290">
        <f>IF(('Synthèse PER'!P61="A faire")*AND('Synthèse PER'!E61="Tertiaire"),'Synthèse PER'!J61,0)</f>
        <v>0</v>
      </c>
      <c r="BB61" s="290">
        <f>IF(('Synthèse PER'!P61="A faire")*AND('Synthèse PER'!E61="Transport"),'Synthèse PER'!J61,0)</f>
        <v>0</v>
      </c>
      <c r="BC61" s="290">
        <f>IF(('Synthèse PER'!P61="A faire")*AND('Synthèse PER'!E61="Communal"),'Synthèse PER'!J61,0)</f>
        <v>17474.996999999999</v>
      </c>
      <c r="BD61" s="288"/>
      <c r="BE61" s="290">
        <f>IF(('Synthèse PER'!P61="A faire")*AND('Synthèse PER'!E61="Territoire"),'Synthèse PER'!K61,0)</f>
        <v>0</v>
      </c>
      <c r="BF61" s="290">
        <f>IF(('Synthèse PER'!P61="A faire")*AND('Synthèse PER'!E61="Agriculture"),'Synthèse PER'!K61,0)</f>
        <v>0</v>
      </c>
      <c r="BG61" s="290">
        <f>IF(('Synthèse PER'!P61="A faire")*AND('Synthèse PER'!E61="Industrie"),'Synthèse PER'!K61,0)</f>
        <v>0</v>
      </c>
      <c r="BH61" s="290">
        <f>IF(('Synthèse PER'!P61="A faire")*AND('Synthèse PER'!E61="Logement"),'Synthèse PER'!K61,0)</f>
        <v>0</v>
      </c>
      <c r="BI61" s="290">
        <f>IF(('Synthèse PER'!P61="A faire")*AND('Synthèse PER'!E61="Tertiaire"),'Synthèse PER'!K61,0)</f>
        <v>0</v>
      </c>
      <c r="BJ61" s="290">
        <f>IF(('Synthèse PER'!P61="A faire")*AND('Synthèse PER'!E61="Transport"),'Synthèse PER'!K61,0)</f>
        <v>0</v>
      </c>
      <c r="BK61" s="290">
        <f>IF(('Synthèse PER'!P61="A faire")*AND('Synthèse PER'!E61="Communal"),'Synthèse PER'!K61,0)</f>
        <v>11531.699999999999</v>
      </c>
      <c r="BL61" s="288"/>
      <c r="BM61" s="290">
        <f>IF(('Synthèse PER'!P61="A faire")*AND('Synthèse PER'!E61="Territoire"),'Synthèse PER'!L61,0)</f>
        <v>0</v>
      </c>
      <c r="BN61" s="290">
        <f>IF(('Synthèse PER'!P61="A faire")*AND('Synthèse PER'!E61="Agriculture"),'Synthèse PER'!L61,0)</f>
        <v>0</v>
      </c>
      <c r="BO61" s="290">
        <f>IF(('Synthèse PER'!P61="A faire")*AND('Synthèse PER'!E61="Industrie"),'Synthèse PER'!L61,0)</f>
        <v>0</v>
      </c>
      <c r="BP61" s="290">
        <f>IF(('Synthèse PER'!P61="A faire")*AND('Synthèse PER'!E61="Logement"),'Synthèse PER'!L61,0)</f>
        <v>0</v>
      </c>
      <c r="BQ61" s="290">
        <f>IF(('Synthèse PER'!P61="A faire")*AND('Synthèse PER'!E61="Tertiaire"),'Synthèse PER'!L61,0)</f>
        <v>0</v>
      </c>
      <c r="BR61" s="290">
        <f>IF(('Synthèse PER'!P61="A faire")*AND('Synthèse PER'!E61="Transport"),'Synthèse PER'!L61,0)</f>
        <v>0</v>
      </c>
      <c r="BS61" s="290">
        <f>IF(('Synthèse PER'!P61="A faire")*AND('Synthèse PER'!E61="Communal"),'Synthèse PER'!L61,0)</f>
        <v>0</v>
      </c>
      <c r="BT61" s="290">
        <f>IF(('Synthèse PER'!Q61="A faire")*AND('Synthèse PER'!F61="Communal"),'Synthèse PER'!M61,0)</f>
        <v>0</v>
      </c>
    </row>
    <row r="62" spans="1:72" s="139" customFormat="1" x14ac:dyDescent="0.25">
      <c r="A62" s="369" t="s">
        <v>105</v>
      </c>
      <c r="B62" s="441" t="str">
        <f>'ADU-31'!B$3:E$3</f>
        <v>Performance énergétique</v>
      </c>
      <c r="C62" s="419" t="str">
        <f>'ADU-31'!$B$8</f>
        <v>Bâtiments communaux</v>
      </c>
      <c r="D62" s="133" t="str">
        <f>'ADU-31'!$B$9</f>
        <v>Economies d'énergie - Chauffage</v>
      </c>
      <c r="E62" s="133" t="str">
        <f>'ADU-31'!$B$4</f>
        <v>Communal</v>
      </c>
      <c r="F62" s="133" t="str">
        <f>'ADU-31'!$B$12</f>
        <v>AC MESSANCY</v>
      </c>
      <c r="G62" s="133" t="str">
        <f>'ADU-31'!$B$6</f>
        <v>Fonds propres</v>
      </c>
      <c r="H62" s="134">
        <f>'ADU-31'!$B$17</f>
        <v>60000</v>
      </c>
      <c r="I62" s="133" t="str">
        <f>'ADU-31'!$B$7</f>
        <v>Subs RW</v>
      </c>
      <c r="J62" s="134">
        <f>'ADU-31'!$B$18</f>
        <v>42000</v>
      </c>
      <c r="K62" s="134">
        <f>'ADU-31'!$B$21</f>
        <v>1725.2200000000003</v>
      </c>
      <c r="L62" s="134">
        <f>'ADU-31'!$B$22</f>
        <v>0</v>
      </c>
      <c r="M62" s="135">
        <f>'ADU-31'!$B$24</f>
        <v>10.433451965546421</v>
      </c>
      <c r="N62" s="220">
        <f>'ADU-31'!$B$19/1000</f>
        <v>24.646000000000004</v>
      </c>
      <c r="O62" s="136">
        <f>IF(H62=0,0,N62/(H62-J62)*1000)</f>
        <v>1.3692222222222223</v>
      </c>
      <c r="P62" s="137" t="str">
        <f>'ADU-31'!$B$5</f>
        <v>A faire</v>
      </c>
      <c r="Q62" s="140">
        <f>'ADU-31'!$B$16</f>
        <v>2020</v>
      </c>
      <c r="R62" s="283" t="str">
        <f>IF(P62="terminé", N62,"")</f>
        <v/>
      </c>
      <c r="S62" s="138">
        <f t="shared" si="9"/>
        <v>0</v>
      </c>
      <c r="T62" s="138">
        <f t="shared" si="10"/>
        <v>0</v>
      </c>
      <c r="U62" s="138">
        <f t="shared" si="11"/>
        <v>0</v>
      </c>
      <c r="V62" s="138">
        <f t="shared" si="12"/>
        <v>0</v>
      </c>
      <c r="W62" s="138">
        <f t="shared" si="13"/>
        <v>0</v>
      </c>
      <c r="X62" s="138">
        <f t="shared" si="14"/>
        <v>0</v>
      </c>
      <c r="Y62" s="138">
        <f t="shared" si="15"/>
        <v>0</v>
      </c>
      <c r="AA62" s="287">
        <f>IF(('Synthèse PER'!P62="A faire")*AND('Synthèse PER'!F62="Agriculture"),'Synthèse PER'!H62,0)</f>
        <v>0</v>
      </c>
      <c r="AB62" s="287">
        <f>IF(('Synthèse PER'!P62="A faire")*AND('Synthèse PER'!F62="Industrie"),'Synthèse PER'!H62,0)</f>
        <v>0</v>
      </c>
      <c r="AC62" s="287">
        <f>IF(('Synthèse PER'!P62="A faire")*AND('Synthèse PER'!F62="Citoyen"),'Synthèse PER'!H62,0)</f>
        <v>0</v>
      </c>
      <c r="AD62" s="287">
        <f>IF(('Synthèse PER'!P62="A faire")*AND('Synthèse PER'!F62="IDELUX"),'Synthèse PER'!H62,0)</f>
        <v>0</v>
      </c>
      <c r="AE62" s="290">
        <f>IF(('Synthèse PER'!P62="A faire")*AND('Synthèse PER'!F62="AC MESSANCY"),'Synthèse PER'!H62,0)</f>
        <v>60000</v>
      </c>
      <c r="AF62" s="287">
        <f>IF(('Synthèse PER'!P62="A faire")*AND('Synthèse PER'!F62="Tertiaire"),'Synthèse PER'!H62,0)</f>
        <v>0</v>
      </c>
      <c r="AG62" s="288"/>
      <c r="AH62" s="290">
        <f>IF(('Synthèse PER'!P62="A faire")*AND('Synthèse PER'!F62="Agriculture"),'Synthèse PER'!J62,0)</f>
        <v>0</v>
      </c>
      <c r="AI62" s="290">
        <f>IF(('Synthèse PER'!P62="A faire")*AND('Synthèse PER'!F62="Industrie"),'Synthèse PER'!J62,0)</f>
        <v>0</v>
      </c>
      <c r="AJ62" s="290">
        <f>IF(('Synthèse PER'!P62="A faire")*AND('Synthèse PER'!F62="Citoyen"),'Synthèse PER'!J62,0)</f>
        <v>0</v>
      </c>
      <c r="AK62" s="290">
        <f>IF(('Synthèse PER'!P62="A faire")*AND('Synthèse PER'!F62="IDELUX"),'Synthèse PER'!J62,0)</f>
        <v>0</v>
      </c>
      <c r="AL62" s="290">
        <f>IF(('Synthèse PER'!P62="A faire")*AND('Synthèse PER'!F62="AC MESSANCY"),'Synthèse PER'!J62,0)</f>
        <v>42000</v>
      </c>
      <c r="AM62" s="290">
        <f>IF(('Synthèse PER'!P62="A faire")*AND('Synthèse PER'!F62="Tertiaire"),'Synthèse PER'!J62,0)</f>
        <v>0</v>
      </c>
      <c r="AN62" s="288"/>
      <c r="AO62" s="290">
        <f>IF(('Synthèse PER'!P62="A faire")*AND('Synthèse PER'!E62="Territoire"),'Synthèse PER'!H62,0)</f>
        <v>0</v>
      </c>
      <c r="AP62" s="290">
        <f>IF(('Synthèse PER'!P62="A faire")*AND('Synthèse PER'!E62="Agriculture"),'Synthèse PER'!H62,0)</f>
        <v>0</v>
      </c>
      <c r="AQ62" s="290">
        <f>IF(('Synthèse PER'!P62="A faire")*AND('Synthèse PER'!E62="Industrie"),'Synthèse PER'!H62,0)</f>
        <v>0</v>
      </c>
      <c r="AR62" s="290">
        <f>IF(('Synthèse PER'!P62="A faire")*AND('Synthèse PER'!E62="Logement"),'Synthèse PER'!H62,0)</f>
        <v>0</v>
      </c>
      <c r="AS62" s="290">
        <f>IF(('Synthèse PER'!P62="A faire")*AND('Synthèse PER'!E62="Tertiaire"),'Synthèse PER'!H62,0)</f>
        <v>0</v>
      </c>
      <c r="AT62" s="290">
        <f>IF(('Synthèse PER'!P62="A faire")*AND('Synthèse PER'!E62="Transport"),'Synthèse PER'!H62,0)</f>
        <v>0</v>
      </c>
      <c r="AU62" s="290">
        <f>IF(('Synthèse PER'!P62="A faire")*AND('Synthèse PER'!E62="Communal"),'Synthèse PER'!H62,0)</f>
        <v>60000</v>
      </c>
      <c r="AV62" s="288"/>
      <c r="AW62" s="290">
        <f>IF(('Synthèse PER'!P62="A faire")*AND('Synthèse PER'!E62="Territoire"),'Synthèse PER'!J62,0)</f>
        <v>0</v>
      </c>
      <c r="AX62" s="290">
        <f>IF(('Synthèse PER'!P62="A faire")*AND('Synthèse PER'!E62="Agriculture"),'Synthèse PER'!J62,0)</f>
        <v>0</v>
      </c>
      <c r="AY62" s="290">
        <f>IF(('Synthèse PER'!P62="A faire")*AND('Synthèse PER'!E62="Industrie"),'Synthèse PER'!J62,0)</f>
        <v>0</v>
      </c>
      <c r="AZ62" s="290">
        <f>IF(('Synthèse PER'!P62="A faire")*AND('Synthèse PER'!E62="Logement"),'Synthèse PER'!J62,0)</f>
        <v>0</v>
      </c>
      <c r="BA62" s="290">
        <f>IF(('Synthèse PER'!P62="A faire")*AND('Synthèse PER'!E62="Tertiaire"),'Synthèse PER'!J62,0)</f>
        <v>0</v>
      </c>
      <c r="BB62" s="290">
        <f>IF(('Synthèse PER'!P62="A faire")*AND('Synthèse PER'!E62="Transport"),'Synthèse PER'!J62,0)</f>
        <v>0</v>
      </c>
      <c r="BC62" s="290">
        <f>IF(('Synthèse PER'!P62="A faire")*AND('Synthèse PER'!E62="Communal"),'Synthèse PER'!J62,0)</f>
        <v>42000</v>
      </c>
      <c r="BD62" s="288"/>
      <c r="BE62" s="290">
        <f>IF(('Synthèse PER'!P62="A faire")*AND('Synthèse PER'!E62="Territoire"),'Synthèse PER'!K62,0)</f>
        <v>0</v>
      </c>
      <c r="BF62" s="290">
        <f>IF(('Synthèse PER'!P62="A faire")*AND('Synthèse PER'!E62="Agriculture"),'Synthèse PER'!K62,0)</f>
        <v>0</v>
      </c>
      <c r="BG62" s="290">
        <f>IF(('Synthèse PER'!P62="A faire")*AND('Synthèse PER'!E62="Industrie"),'Synthèse PER'!K62,0)</f>
        <v>0</v>
      </c>
      <c r="BH62" s="290">
        <f>IF(('Synthèse PER'!P62="A faire")*AND('Synthèse PER'!E62="Logement"),'Synthèse PER'!K62,0)</f>
        <v>0</v>
      </c>
      <c r="BI62" s="290">
        <f>IF(('Synthèse PER'!P62="A faire")*AND('Synthèse PER'!E62="Tertiaire"),'Synthèse PER'!K62,0)</f>
        <v>0</v>
      </c>
      <c r="BJ62" s="290">
        <f>IF(('Synthèse PER'!P62="A faire")*AND('Synthèse PER'!E62="Transport"),'Synthèse PER'!K62,0)</f>
        <v>0</v>
      </c>
      <c r="BK62" s="290">
        <f>IF(('Synthèse PER'!P62="A faire")*AND('Synthèse PER'!E62="Communal"),'Synthèse PER'!K62,0)</f>
        <v>1725.2200000000003</v>
      </c>
      <c r="BL62" s="288"/>
      <c r="BM62" s="290">
        <f>IF(('Synthèse PER'!P62="A faire")*AND('Synthèse PER'!E62="Territoire"),'Synthèse PER'!L62,0)</f>
        <v>0</v>
      </c>
      <c r="BN62" s="290">
        <f>IF(('Synthèse PER'!P62="A faire")*AND('Synthèse PER'!E62="Agriculture"),'Synthèse PER'!L62,0)</f>
        <v>0</v>
      </c>
      <c r="BO62" s="290">
        <f>IF(('Synthèse PER'!P62="A faire")*AND('Synthèse PER'!E62="Industrie"),'Synthèse PER'!L62,0)</f>
        <v>0</v>
      </c>
      <c r="BP62" s="290">
        <f>IF(('Synthèse PER'!P62="A faire")*AND('Synthèse PER'!E62="Logement"),'Synthèse PER'!L62,0)</f>
        <v>0</v>
      </c>
      <c r="BQ62" s="290">
        <f>IF(('Synthèse PER'!P62="A faire")*AND('Synthèse PER'!E62="Tertiaire"),'Synthèse PER'!L62,0)</f>
        <v>0</v>
      </c>
      <c r="BR62" s="290">
        <f>IF(('Synthèse PER'!P62="A faire")*AND('Synthèse PER'!E62="Transport"),'Synthèse PER'!L62,0)</f>
        <v>0</v>
      </c>
      <c r="BS62" s="290">
        <f>IF(('Synthèse PER'!P62="A faire")*AND('Synthèse PER'!E62="Communal"),'Synthèse PER'!L62,0)</f>
        <v>0</v>
      </c>
      <c r="BT62" s="290">
        <f>IF(('Synthèse PER'!Q62="A faire")*AND('Synthèse PER'!F62="Communal"),'Synthèse PER'!M62,0)</f>
        <v>0</v>
      </c>
    </row>
    <row r="63" spans="1:72" s="139" customFormat="1" x14ac:dyDescent="0.25">
      <c r="A63" s="369" t="s">
        <v>112</v>
      </c>
      <c r="B63" s="441" t="str">
        <f>'ADU-32'!B$3:E$3</f>
        <v>Performance énergétique</v>
      </c>
      <c r="C63" s="453" t="str">
        <f>'ADU-32'!$B$8</f>
        <v>URE</v>
      </c>
      <c r="D63" s="133" t="str">
        <f>'ADU-32'!$B$9</f>
        <v>Actions URE - Electricité</v>
      </c>
      <c r="E63" s="133" t="str">
        <f>'ADU-32'!$B$4</f>
        <v>Communal</v>
      </c>
      <c r="F63" s="133" t="str">
        <f>'ADU-32'!$B$12</f>
        <v>AC MESSANCY</v>
      </c>
      <c r="G63" s="133" t="str">
        <f>'ADU-32'!$B$6</f>
        <v>Néant</v>
      </c>
      <c r="H63" s="134">
        <f>'ADU-32'!$B$17</f>
        <v>0</v>
      </c>
      <c r="I63" s="133" t="str">
        <f>'ADU-32'!$B$7</f>
        <v>Néant</v>
      </c>
      <c r="J63" s="134">
        <f>'ADU-32'!$B$18</f>
        <v>0</v>
      </c>
      <c r="K63" s="134">
        <f>'ADU-32'!$B$21</f>
        <v>0</v>
      </c>
      <c r="L63" s="134">
        <f>'ADU-32'!$B$22</f>
        <v>0</v>
      </c>
      <c r="M63" s="135" t="e">
        <f>'ADU-32'!$B$24</f>
        <v>#DIV/0!</v>
      </c>
      <c r="N63" s="220">
        <f>'ADU-32'!$B$19/1000</f>
        <v>0</v>
      </c>
      <c r="O63" s="136">
        <f>IF(H63=0,0,N63/(H63-J63)*1000)</f>
        <v>0</v>
      </c>
      <c r="P63" s="137" t="str">
        <f>'ADU-32'!$B$5</f>
        <v>Ne pas réaliser</v>
      </c>
      <c r="Q63" s="140">
        <f>'ADU-32'!$B$16</f>
        <v>0</v>
      </c>
      <c r="R63" s="283" t="str">
        <f>IF(P63="terminé", N63,"")</f>
        <v/>
      </c>
      <c r="S63" s="138">
        <f t="shared" si="9"/>
        <v>0</v>
      </c>
      <c r="T63" s="138">
        <f t="shared" si="10"/>
        <v>0</v>
      </c>
      <c r="U63" s="138">
        <f t="shared" si="11"/>
        <v>0</v>
      </c>
      <c r="V63" s="138">
        <f t="shared" si="12"/>
        <v>0</v>
      </c>
      <c r="W63" s="138">
        <f t="shared" si="13"/>
        <v>0</v>
      </c>
      <c r="X63" s="138">
        <f t="shared" si="14"/>
        <v>0</v>
      </c>
      <c r="Y63" s="138">
        <f t="shared" si="15"/>
        <v>0</v>
      </c>
      <c r="AA63" s="287">
        <f>IF(('Synthèse PER'!P63="A faire")*AND('Synthèse PER'!F63="Agriculture"),'Synthèse PER'!H63,0)</f>
        <v>0</v>
      </c>
      <c r="AB63" s="287">
        <f>IF(('Synthèse PER'!P63="A faire")*AND('Synthèse PER'!F63="Industrie"),'Synthèse PER'!H63,0)</f>
        <v>0</v>
      </c>
      <c r="AC63" s="287">
        <f>IF(('Synthèse PER'!P63="A faire")*AND('Synthèse PER'!F63="Citoyen"),'Synthèse PER'!H63,0)</f>
        <v>0</v>
      </c>
      <c r="AD63" s="287">
        <f>IF(('Synthèse PER'!P63="A faire")*AND('Synthèse PER'!F63="IDELUX"),'Synthèse PER'!H63,0)</f>
        <v>0</v>
      </c>
      <c r="AE63" s="290">
        <f>IF(('Synthèse PER'!P63="A faire")*AND('Synthèse PER'!F63="AC MESSANCY"),'Synthèse PER'!H63,0)</f>
        <v>0</v>
      </c>
      <c r="AF63" s="287">
        <f>IF(('Synthèse PER'!P63="A faire")*AND('Synthèse PER'!F63="Tertiaire"),'Synthèse PER'!H63,0)</f>
        <v>0</v>
      </c>
      <c r="AG63" s="288"/>
      <c r="AH63" s="290">
        <f>IF(('Synthèse PER'!P63="A faire")*AND('Synthèse PER'!F63="Agriculture"),'Synthèse PER'!J63,0)</f>
        <v>0</v>
      </c>
      <c r="AI63" s="290">
        <f>IF(('Synthèse PER'!P63="A faire")*AND('Synthèse PER'!F63="Industrie"),'Synthèse PER'!J63,0)</f>
        <v>0</v>
      </c>
      <c r="AJ63" s="290">
        <f>IF(('Synthèse PER'!P63="A faire")*AND('Synthèse PER'!F63="Citoyen"),'Synthèse PER'!J63,0)</f>
        <v>0</v>
      </c>
      <c r="AK63" s="290">
        <f>IF(('Synthèse PER'!P63="A faire")*AND('Synthèse PER'!F63="IDELUX"),'Synthèse PER'!J63,0)</f>
        <v>0</v>
      </c>
      <c r="AL63" s="290">
        <f>IF(('Synthèse PER'!P63="A faire")*AND('Synthèse PER'!F63="AC MESSANCY"),'Synthèse PER'!J63,0)</f>
        <v>0</v>
      </c>
      <c r="AM63" s="290">
        <f>IF(('Synthèse PER'!P63="A faire")*AND('Synthèse PER'!F63="Tertiaire"),'Synthèse PER'!J63,0)</f>
        <v>0</v>
      </c>
      <c r="AN63" s="288"/>
      <c r="AO63" s="290">
        <f>IF(('Synthèse PER'!P63="A faire")*AND('Synthèse PER'!E63="Territoire"),'Synthèse PER'!H63,0)</f>
        <v>0</v>
      </c>
      <c r="AP63" s="290">
        <f>IF(('Synthèse PER'!P63="A faire")*AND('Synthèse PER'!E63="Agriculture"),'Synthèse PER'!H63,0)</f>
        <v>0</v>
      </c>
      <c r="AQ63" s="290">
        <f>IF(('Synthèse PER'!P63="A faire")*AND('Synthèse PER'!E63="Industrie"),'Synthèse PER'!H63,0)</f>
        <v>0</v>
      </c>
      <c r="AR63" s="290">
        <f>IF(('Synthèse PER'!P63="A faire")*AND('Synthèse PER'!E63="Logement"),'Synthèse PER'!H63,0)</f>
        <v>0</v>
      </c>
      <c r="AS63" s="290">
        <f>IF(('Synthèse PER'!P63="A faire")*AND('Synthèse PER'!E63="Tertiaire"),'Synthèse PER'!H63,0)</f>
        <v>0</v>
      </c>
      <c r="AT63" s="290">
        <f>IF(('Synthèse PER'!P63="A faire")*AND('Synthèse PER'!E63="Transport"),'Synthèse PER'!H63,0)</f>
        <v>0</v>
      </c>
      <c r="AU63" s="290">
        <f>IF(('Synthèse PER'!P63="A faire")*AND('Synthèse PER'!E63="Communal"),'Synthèse PER'!H63,0)</f>
        <v>0</v>
      </c>
      <c r="AV63" s="288"/>
      <c r="AW63" s="290">
        <f>IF(('Synthèse PER'!P63="A faire")*AND('Synthèse PER'!E63="Territoire"),'Synthèse PER'!J63,0)</f>
        <v>0</v>
      </c>
      <c r="AX63" s="290">
        <f>IF(('Synthèse PER'!P63="A faire")*AND('Synthèse PER'!E63="Agriculture"),'Synthèse PER'!J63,0)</f>
        <v>0</v>
      </c>
      <c r="AY63" s="290">
        <f>IF(('Synthèse PER'!P63="A faire")*AND('Synthèse PER'!E63="Industrie"),'Synthèse PER'!J63,0)</f>
        <v>0</v>
      </c>
      <c r="AZ63" s="290">
        <f>IF(('Synthèse PER'!P63="A faire")*AND('Synthèse PER'!E63="Logement"),'Synthèse PER'!J63,0)</f>
        <v>0</v>
      </c>
      <c r="BA63" s="290">
        <f>IF(('Synthèse PER'!P63="A faire")*AND('Synthèse PER'!E63="Tertiaire"),'Synthèse PER'!J63,0)</f>
        <v>0</v>
      </c>
      <c r="BB63" s="290">
        <f>IF(('Synthèse PER'!P63="A faire")*AND('Synthèse PER'!E63="Transport"),'Synthèse PER'!J63,0)</f>
        <v>0</v>
      </c>
      <c r="BC63" s="290">
        <f>IF(('Synthèse PER'!P63="A faire")*AND('Synthèse PER'!E63="Communal"),'Synthèse PER'!J63,0)</f>
        <v>0</v>
      </c>
      <c r="BD63" s="288"/>
      <c r="BE63" s="290">
        <f>IF(('Synthèse PER'!P63="A faire")*AND('Synthèse PER'!E63="Territoire"),'Synthèse PER'!K63,0)</f>
        <v>0</v>
      </c>
      <c r="BF63" s="290">
        <f>IF(('Synthèse PER'!P63="A faire")*AND('Synthèse PER'!E63="Agriculture"),'Synthèse PER'!K63,0)</f>
        <v>0</v>
      </c>
      <c r="BG63" s="290">
        <f>IF(('Synthèse PER'!P63="A faire")*AND('Synthèse PER'!E63="Industrie"),'Synthèse PER'!K63,0)</f>
        <v>0</v>
      </c>
      <c r="BH63" s="290">
        <f>IF(('Synthèse PER'!P63="A faire")*AND('Synthèse PER'!E63="Logement"),'Synthèse PER'!K63,0)</f>
        <v>0</v>
      </c>
      <c r="BI63" s="290">
        <f>IF(('Synthèse PER'!P63="A faire")*AND('Synthèse PER'!E63="Tertiaire"),'Synthèse PER'!K63,0)</f>
        <v>0</v>
      </c>
      <c r="BJ63" s="290">
        <f>IF(('Synthèse PER'!P63="A faire")*AND('Synthèse PER'!E63="Transport"),'Synthèse PER'!K63,0)</f>
        <v>0</v>
      </c>
      <c r="BK63" s="290">
        <f>IF(('Synthèse PER'!P63="A faire")*AND('Synthèse PER'!E63="Communal"),'Synthèse PER'!K63,0)</f>
        <v>0</v>
      </c>
      <c r="BL63" s="288"/>
      <c r="BM63" s="290">
        <f>IF(('Synthèse PER'!P63="A faire")*AND('Synthèse PER'!E63="Territoire"),'Synthèse PER'!L63,0)</f>
        <v>0</v>
      </c>
      <c r="BN63" s="290">
        <f>IF(('Synthèse PER'!P63="A faire")*AND('Synthèse PER'!E63="Agriculture"),'Synthèse PER'!L63,0)</f>
        <v>0</v>
      </c>
      <c r="BO63" s="290">
        <f>IF(('Synthèse PER'!P63="A faire")*AND('Synthèse PER'!E63="Industrie"),'Synthèse PER'!L63,0)</f>
        <v>0</v>
      </c>
      <c r="BP63" s="290">
        <f>IF(('Synthèse PER'!P63="A faire")*AND('Synthèse PER'!E63="Logement"),'Synthèse PER'!L63,0)</f>
        <v>0</v>
      </c>
      <c r="BQ63" s="290">
        <f>IF(('Synthèse PER'!P63="A faire")*AND('Synthèse PER'!E63="Tertiaire"),'Synthèse PER'!L63,0)</f>
        <v>0</v>
      </c>
      <c r="BR63" s="290">
        <f>IF(('Synthèse PER'!P63="A faire")*AND('Synthèse PER'!E63="Transport"),'Synthèse PER'!L63,0)</f>
        <v>0</v>
      </c>
      <c r="BS63" s="290">
        <f>IF(('Synthèse PER'!P63="A faire")*AND('Synthèse PER'!E63="Communal"),'Synthèse PER'!L63,0)</f>
        <v>0</v>
      </c>
      <c r="BT63" s="290">
        <f>IF(('Synthèse PER'!Q63="A faire")*AND('Synthèse PER'!F63="Communal"),'Synthèse PER'!M63,0)</f>
        <v>0</v>
      </c>
    </row>
    <row r="64" spans="1:72" s="139" customFormat="1" x14ac:dyDescent="0.25">
      <c r="A64" s="369" t="s">
        <v>113</v>
      </c>
      <c r="B64" s="441" t="str">
        <f>'ADU-33'!B$3:E$3</f>
        <v>Performance énergétique</v>
      </c>
      <c r="C64" s="419" t="str">
        <f>'ADU-33'!$B$8</f>
        <v>Logement</v>
      </c>
      <c r="D64" s="133" t="str">
        <f>'ADU-33'!$B$9</f>
        <v>Chaudières au propane</v>
      </c>
      <c r="E64" s="133" t="str">
        <f>'ADU-33'!$B$4</f>
        <v>Logement</v>
      </c>
      <c r="F64" s="133" t="str">
        <f>'ADU-33'!$B$12</f>
        <v>Citoyen</v>
      </c>
      <c r="G64" s="133" t="str">
        <f>'ADU-33'!$B$6</f>
        <v>Fonds propres</v>
      </c>
      <c r="H64" s="134">
        <f>'ADU-33'!$B$17</f>
        <v>500000</v>
      </c>
      <c r="I64" s="133" t="str">
        <f>'ADU-33'!$B$7</f>
        <v>Néant</v>
      </c>
      <c r="J64" s="134">
        <f>'ADU-33'!$B$18</f>
        <v>0</v>
      </c>
      <c r="K64" s="134">
        <f>'ADU-33'!$B$21</f>
        <v>38969.21058897012</v>
      </c>
      <c r="L64" s="134">
        <f>'ADU-33'!$B$22</f>
        <v>0</v>
      </c>
      <c r="M64" s="135">
        <f>'ADU-33'!$B$24</f>
        <v>12.830642254311419</v>
      </c>
      <c r="N64" s="220">
        <f>'ADU-33'!$B$19/1000</f>
        <v>299.76315837669341</v>
      </c>
      <c r="O64" s="136">
        <f>IF(H64=0,0,N64/(H64-J64)*1000)</f>
        <v>0.59952631675338686</v>
      </c>
      <c r="P64" s="137" t="str">
        <f>'ADU-33'!$B$5</f>
        <v>A faire</v>
      </c>
      <c r="Q64" s="140">
        <f>'ADU-33'!$B$16</f>
        <v>2030</v>
      </c>
      <c r="R64" s="283" t="str">
        <f>IF(P64="terminé", N64,"")</f>
        <v/>
      </c>
      <c r="S64" s="138">
        <f t="shared" si="9"/>
        <v>0</v>
      </c>
      <c r="T64" s="138">
        <f t="shared" si="10"/>
        <v>0</v>
      </c>
      <c r="U64" s="138">
        <f t="shared" si="11"/>
        <v>0</v>
      </c>
      <c r="V64" s="138">
        <f t="shared" si="12"/>
        <v>0</v>
      </c>
      <c r="W64" s="138">
        <f t="shared" si="13"/>
        <v>0</v>
      </c>
      <c r="X64" s="138">
        <f t="shared" si="14"/>
        <v>0</v>
      </c>
      <c r="Y64" s="138">
        <f t="shared" si="15"/>
        <v>0</v>
      </c>
      <c r="AA64" s="287">
        <f>IF(('Synthèse PER'!P64="A faire")*AND('Synthèse PER'!F64="Agriculture"),'Synthèse PER'!H64,0)</f>
        <v>0</v>
      </c>
      <c r="AB64" s="287">
        <f>IF(('Synthèse PER'!P64="A faire")*AND('Synthèse PER'!F64="Industrie"),'Synthèse PER'!H64,0)</f>
        <v>0</v>
      </c>
      <c r="AC64" s="287">
        <f>IF(('Synthèse PER'!P64="A faire")*AND('Synthèse PER'!F64="Citoyen"),'Synthèse PER'!H64,0)</f>
        <v>500000</v>
      </c>
      <c r="AD64" s="287">
        <f>IF(('Synthèse PER'!P64="A faire")*AND('Synthèse PER'!F64="IDELUX"),'Synthèse PER'!H64,0)</f>
        <v>0</v>
      </c>
      <c r="AE64" s="290">
        <f>IF(('Synthèse PER'!P64="A faire")*AND('Synthèse PER'!F64="AC MESSANCY"),'Synthèse PER'!H64,0)</f>
        <v>0</v>
      </c>
      <c r="AF64" s="287">
        <f>IF(('Synthèse PER'!P64="A faire")*AND('Synthèse PER'!F64="Tertiaire"),'Synthèse PER'!H64,0)</f>
        <v>0</v>
      </c>
      <c r="AG64" s="288"/>
      <c r="AH64" s="290">
        <f>IF(('Synthèse PER'!P64="A faire")*AND('Synthèse PER'!F64="Agriculture"),'Synthèse PER'!J64,0)</f>
        <v>0</v>
      </c>
      <c r="AI64" s="290">
        <f>IF(('Synthèse PER'!P64="A faire")*AND('Synthèse PER'!F64="Industrie"),'Synthèse PER'!J64,0)</f>
        <v>0</v>
      </c>
      <c r="AJ64" s="290">
        <f>IF(('Synthèse PER'!P64="A faire")*AND('Synthèse PER'!F64="Citoyen"),'Synthèse PER'!J64,0)</f>
        <v>0</v>
      </c>
      <c r="AK64" s="290">
        <f>IF(('Synthèse PER'!P64="A faire")*AND('Synthèse PER'!F64="IDELUX"),'Synthèse PER'!J64,0)</f>
        <v>0</v>
      </c>
      <c r="AL64" s="290">
        <f>IF(('Synthèse PER'!P64="A faire")*AND('Synthèse PER'!F64="AC MESSANCY"),'Synthèse PER'!J64,0)</f>
        <v>0</v>
      </c>
      <c r="AM64" s="290">
        <f>IF(('Synthèse PER'!P64="A faire")*AND('Synthèse PER'!F64="Tertiaire"),'Synthèse PER'!J64,0)</f>
        <v>0</v>
      </c>
      <c r="AN64" s="288"/>
      <c r="AO64" s="290">
        <f>IF(('Synthèse PER'!P64="A faire")*AND('Synthèse PER'!E64="Territoire"),'Synthèse PER'!H64,0)</f>
        <v>0</v>
      </c>
      <c r="AP64" s="290">
        <f>IF(('Synthèse PER'!P64="A faire")*AND('Synthèse PER'!E64="Agriculture"),'Synthèse PER'!H64,0)</f>
        <v>0</v>
      </c>
      <c r="AQ64" s="290">
        <f>IF(('Synthèse PER'!P64="A faire")*AND('Synthèse PER'!E64="Industrie"),'Synthèse PER'!H64,0)</f>
        <v>0</v>
      </c>
      <c r="AR64" s="290">
        <f>IF(('Synthèse PER'!P64="A faire")*AND('Synthèse PER'!E64="Logement"),'Synthèse PER'!H64,0)</f>
        <v>500000</v>
      </c>
      <c r="AS64" s="290">
        <f>IF(('Synthèse PER'!P64="A faire")*AND('Synthèse PER'!E64="Tertiaire"),'Synthèse PER'!H64,0)</f>
        <v>0</v>
      </c>
      <c r="AT64" s="290">
        <f>IF(('Synthèse PER'!P64="A faire")*AND('Synthèse PER'!E64="Transport"),'Synthèse PER'!H64,0)</f>
        <v>0</v>
      </c>
      <c r="AU64" s="290">
        <f>IF(('Synthèse PER'!P64="A faire")*AND('Synthèse PER'!E64="Communal"),'Synthèse PER'!H64,0)</f>
        <v>0</v>
      </c>
      <c r="AV64" s="288"/>
      <c r="AW64" s="290">
        <f>IF(('Synthèse PER'!P64="A faire")*AND('Synthèse PER'!E64="Territoire"),'Synthèse PER'!J64,0)</f>
        <v>0</v>
      </c>
      <c r="AX64" s="290">
        <f>IF(('Synthèse PER'!P64="A faire")*AND('Synthèse PER'!E64="Agriculture"),'Synthèse PER'!J64,0)</f>
        <v>0</v>
      </c>
      <c r="AY64" s="290">
        <f>IF(('Synthèse PER'!P64="A faire")*AND('Synthèse PER'!E64="Industrie"),'Synthèse PER'!J64,0)</f>
        <v>0</v>
      </c>
      <c r="AZ64" s="290">
        <f>IF(('Synthèse PER'!P64="A faire")*AND('Synthèse PER'!E64="Logement"),'Synthèse PER'!J64,0)</f>
        <v>0</v>
      </c>
      <c r="BA64" s="290">
        <f>IF(('Synthèse PER'!P64="A faire")*AND('Synthèse PER'!E64="Tertiaire"),'Synthèse PER'!J64,0)</f>
        <v>0</v>
      </c>
      <c r="BB64" s="290">
        <f>IF(('Synthèse PER'!P64="A faire")*AND('Synthèse PER'!E64="Transport"),'Synthèse PER'!J64,0)</f>
        <v>0</v>
      </c>
      <c r="BC64" s="290">
        <f>IF(('Synthèse PER'!P64="A faire")*AND('Synthèse PER'!E64="Communal"),'Synthèse PER'!J64,0)</f>
        <v>0</v>
      </c>
      <c r="BD64" s="288"/>
      <c r="BE64" s="290">
        <f>IF(('Synthèse PER'!P64="A faire")*AND('Synthèse PER'!E64="Territoire"),'Synthèse PER'!K64,0)</f>
        <v>0</v>
      </c>
      <c r="BF64" s="290">
        <f>IF(('Synthèse PER'!P64="A faire")*AND('Synthèse PER'!E64="Agriculture"),'Synthèse PER'!K64,0)</f>
        <v>0</v>
      </c>
      <c r="BG64" s="290">
        <f>IF(('Synthèse PER'!P64="A faire")*AND('Synthèse PER'!E64="Industrie"),'Synthèse PER'!K64,0)</f>
        <v>0</v>
      </c>
      <c r="BH64" s="290">
        <f>IF(('Synthèse PER'!P64="A faire")*AND('Synthèse PER'!E64="Logement"),'Synthèse PER'!K64,0)</f>
        <v>38969.21058897012</v>
      </c>
      <c r="BI64" s="290">
        <f>IF(('Synthèse PER'!P64="A faire")*AND('Synthèse PER'!E64="Tertiaire"),'Synthèse PER'!K64,0)</f>
        <v>0</v>
      </c>
      <c r="BJ64" s="290">
        <f>IF(('Synthèse PER'!P64="A faire")*AND('Synthèse PER'!E64="Transport"),'Synthèse PER'!K64,0)</f>
        <v>0</v>
      </c>
      <c r="BK64" s="290">
        <f>IF(('Synthèse PER'!P64="A faire")*AND('Synthèse PER'!E64="Communal"),'Synthèse PER'!K64,0)</f>
        <v>0</v>
      </c>
      <c r="BL64" s="288"/>
      <c r="BM64" s="290">
        <f>IF(('Synthèse PER'!P64="A faire")*AND('Synthèse PER'!E64="Territoire"),'Synthèse PER'!L64,0)</f>
        <v>0</v>
      </c>
      <c r="BN64" s="290">
        <f>IF(('Synthèse PER'!P64="A faire")*AND('Synthèse PER'!E64="Agriculture"),'Synthèse PER'!L64,0)</f>
        <v>0</v>
      </c>
      <c r="BO64" s="290">
        <f>IF(('Synthèse PER'!P64="A faire")*AND('Synthèse PER'!E64="Industrie"),'Synthèse PER'!L64,0)</f>
        <v>0</v>
      </c>
      <c r="BP64" s="290">
        <f>IF(('Synthèse PER'!P64="A faire")*AND('Synthèse PER'!E64="Logement"),'Synthèse PER'!L64,0)</f>
        <v>0</v>
      </c>
      <c r="BQ64" s="290">
        <f>IF(('Synthèse PER'!P64="A faire")*AND('Synthèse PER'!E64="Tertiaire"),'Synthèse PER'!L64,0)</f>
        <v>0</v>
      </c>
      <c r="BR64" s="290">
        <f>IF(('Synthèse PER'!P64="A faire")*AND('Synthèse PER'!E64="Transport"),'Synthèse PER'!L64,0)</f>
        <v>0</v>
      </c>
      <c r="BS64" s="290">
        <f>IF(('Synthèse PER'!P64="A faire")*AND('Synthèse PER'!E64="Communal"),'Synthèse PER'!L64,0)</f>
        <v>0</v>
      </c>
      <c r="BT64" s="290">
        <f>IF(('Synthèse PER'!Q64="A faire")*AND('Synthèse PER'!F64="Communal"),'Synthèse PER'!M64,0)</f>
        <v>0</v>
      </c>
    </row>
    <row r="65" spans="1:72" s="139" customFormat="1" x14ac:dyDescent="0.25">
      <c r="A65" s="369" t="s">
        <v>114</v>
      </c>
      <c r="B65" s="578" t="str">
        <f>'ADU-34'!B$3:E$3</f>
        <v>Performance énergétique</v>
      </c>
      <c r="C65" s="419" t="str">
        <f>'ADU-34'!$B$8</f>
        <v>Logement</v>
      </c>
      <c r="D65" s="133" t="str">
        <f>'ADU-34'!$B$9</f>
        <v>Chaudières au gaz naturel</v>
      </c>
      <c r="E65" s="133" t="str">
        <f>'ADU-34'!$B$4</f>
        <v>Logement</v>
      </c>
      <c r="F65" s="133" t="str">
        <f>'ADU-34'!$B$12</f>
        <v>Citoyen</v>
      </c>
      <c r="G65" s="133" t="str">
        <f>'ADU-34'!$B$6</f>
        <v>Fonds propres</v>
      </c>
      <c r="H65" s="134">
        <f>'ADU-34'!$B$17</f>
        <v>500000</v>
      </c>
      <c r="I65" s="133" t="str">
        <f>'ADU-34'!$B$7</f>
        <v>Néant</v>
      </c>
      <c r="J65" s="134">
        <f>'ADU-34'!$B$18</f>
        <v>0</v>
      </c>
      <c r="K65" s="134">
        <f>'ADU-34'!$B$21</f>
        <v>38969.21058897012</v>
      </c>
      <c r="L65" s="134">
        <f>'ADU-34'!$B$22</f>
        <v>0</v>
      </c>
      <c r="M65" s="135">
        <f>'ADU-34'!$B$24</f>
        <v>12.830642254311419</v>
      </c>
      <c r="N65" s="220">
        <f>'ADU-34'!$B$19/1000</f>
        <v>299.76315837669341</v>
      </c>
      <c r="O65" s="136">
        <f t="shared" ref="O65:O66" si="56">IF(H65=0,0,N65/(H65-J65)*1000)</f>
        <v>0.59952631675338686</v>
      </c>
      <c r="P65" s="137" t="str">
        <f>'ADU-34'!$B$5</f>
        <v>A faire</v>
      </c>
      <c r="Q65" s="140">
        <f>'ADU-34'!$B$16</f>
        <v>2030</v>
      </c>
      <c r="R65" s="283" t="str">
        <f t="shared" ref="R65:R66" si="57">IF(P65="terminé", N65,"")</f>
        <v/>
      </c>
      <c r="S65" s="138">
        <f t="shared" ref="S65:S66" si="58">IF((P65="Terminé")*AND(E65="Territoire"),N65,0)</f>
        <v>0</v>
      </c>
      <c r="T65" s="138">
        <f t="shared" ref="T65:T66" si="59">IF((P65="Terminé")*AND(E65="Agriculture"),N65,0)</f>
        <v>0</v>
      </c>
      <c r="U65" s="138">
        <f t="shared" ref="U65:U66" si="60">IF((P65="Terminé")*AND(E65="Industrie"), N65,0)</f>
        <v>0</v>
      </c>
      <c r="V65" s="138">
        <f t="shared" ref="V65:V66" si="61">IF((P65="Terminé")*AND(E65="Logement"),N65,0)</f>
        <v>0</v>
      </c>
      <c r="W65" s="138">
        <f t="shared" ref="W65:W66" si="62">IF((P65="Terminé")*AND(E65="Tertiaire"),N65,0)</f>
        <v>0</v>
      </c>
      <c r="X65" s="138">
        <f t="shared" ref="X65:X66" si="63">IF((P65="Terminé")*AND(E65="Transport"),N65,0)</f>
        <v>0</v>
      </c>
      <c r="Y65" s="138">
        <f t="shared" ref="Y65:Y66" si="64">IF((P65="Terminé")*AND(E65="Communal"),N65,0)</f>
        <v>0</v>
      </c>
      <c r="AA65" s="287">
        <f>IF(('Synthèse PER'!P65="A faire")*AND('Synthèse PER'!F65="Agriculture"),'Synthèse PER'!H65,0)</f>
        <v>0</v>
      </c>
      <c r="AB65" s="287">
        <f>IF(('Synthèse PER'!P65="A faire")*AND('Synthèse PER'!F65="Industrie"),'Synthèse PER'!H65,0)</f>
        <v>0</v>
      </c>
      <c r="AC65" s="287">
        <f>IF(('Synthèse PER'!P65="A faire")*AND('Synthèse PER'!F65="Citoyen"),'Synthèse PER'!H65,0)</f>
        <v>500000</v>
      </c>
      <c r="AD65" s="287">
        <f>IF(('Synthèse PER'!P65="A faire")*AND('Synthèse PER'!F65="IDELUX"),'Synthèse PER'!H65,0)</f>
        <v>0</v>
      </c>
      <c r="AE65" s="290">
        <f>IF(('Synthèse PER'!P65="A faire")*AND('Synthèse PER'!F65="AC MESSANCY"),'Synthèse PER'!H65,0)</f>
        <v>0</v>
      </c>
      <c r="AF65" s="287">
        <f>IF(('Synthèse PER'!P65="A faire")*AND('Synthèse PER'!F65="Tertiaire"),'Synthèse PER'!H65,0)</f>
        <v>0</v>
      </c>
      <c r="AG65" s="288"/>
      <c r="AH65" s="290">
        <f>IF(('Synthèse PER'!P65="A faire")*AND('Synthèse PER'!F65="Agriculture"),'Synthèse PER'!J65,0)</f>
        <v>0</v>
      </c>
      <c r="AI65" s="290">
        <f>IF(('Synthèse PER'!P65="A faire")*AND('Synthèse PER'!F65="Industrie"),'Synthèse PER'!J65,0)</f>
        <v>0</v>
      </c>
      <c r="AJ65" s="290">
        <f>IF(('Synthèse PER'!P65="A faire")*AND('Synthèse PER'!F65="Citoyen"),'Synthèse PER'!J65,0)</f>
        <v>0</v>
      </c>
      <c r="AK65" s="290">
        <f>IF(('Synthèse PER'!P65="A faire")*AND('Synthèse PER'!F65="IDELUX"),'Synthèse PER'!J65,0)</f>
        <v>0</v>
      </c>
      <c r="AL65" s="290">
        <f>IF(('Synthèse PER'!P65="A faire")*AND('Synthèse PER'!F65="AC MESSANCY"),'Synthèse PER'!J65,0)</f>
        <v>0</v>
      </c>
      <c r="AM65" s="290">
        <f>IF(('Synthèse PER'!P65="A faire")*AND('Synthèse PER'!F65="Tertiaire"),'Synthèse PER'!J65,0)</f>
        <v>0</v>
      </c>
      <c r="AN65" s="288"/>
      <c r="AO65" s="290">
        <f>IF(('Synthèse PER'!P65="A faire")*AND('Synthèse PER'!E65="Territoire"),'Synthèse PER'!H65,0)</f>
        <v>0</v>
      </c>
      <c r="AP65" s="290">
        <f>IF(('Synthèse PER'!P65="A faire")*AND('Synthèse PER'!E65="Agriculture"),'Synthèse PER'!H65,0)</f>
        <v>0</v>
      </c>
      <c r="AQ65" s="290">
        <f>IF(('Synthèse PER'!P65="A faire")*AND('Synthèse PER'!E65="Industrie"),'Synthèse PER'!H65,0)</f>
        <v>0</v>
      </c>
      <c r="AR65" s="290">
        <f>IF(('Synthèse PER'!P65="A faire")*AND('Synthèse PER'!E65="Logement"),'Synthèse PER'!H65,0)</f>
        <v>500000</v>
      </c>
      <c r="AS65" s="290">
        <f>IF(('Synthèse PER'!P65="A faire")*AND('Synthèse PER'!E65="Tertiaire"),'Synthèse PER'!H65,0)</f>
        <v>0</v>
      </c>
      <c r="AT65" s="290">
        <f>IF(('Synthèse PER'!P65="A faire")*AND('Synthèse PER'!E65="Transport"),'Synthèse PER'!H65,0)</f>
        <v>0</v>
      </c>
      <c r="AU65" s="290">
        <f>IF(('Synthèse PER'!P65="A faire")*AND('Synthèse PER'!E65="Communal"),'Synthèse PER'!H65,0)</f>
        <v>0</v>
      </c>
      <c r="AV65" s="288"/>
      <c r="AW65" s="290">
        <f>IF(('Synthèse PER'!P65="A faire")*AND('Synthèse PER'!E65="Territoire"),'Synthèse PER'!J65,0)</f>
        <v>0</v>
      </c>
      <c r="AX65" s="290">
        <f>IF(('Synthèse PER'!P65="A faire")*AND('Synthèse PER'!E65="Agriculture"),'Synthèse PER'!J65,0)</f>
        <v>0</v>
      </c>
      <c r="AY65" s="290">
        <f>IF(('Synthèse PER'!P65="A faire")*AND('Synthèse PER'!E65="Industrie"),'Synthèse PER'!J65,0)</f>
        <v>0</v>
      </c>
      <c r="AZ65" s="290">
        <f>IF(('Synthèse PER'!P65="A faire")*AND('Synthèse PER'!E65="Logement"),'Synthèse PER'!J65,0)</f>
        <v>0</v>
      </c>
      <c r="BA65" s="290">
        <f>IF(('Synthèse PER'!P65="A faire")*AND('Synthèse PER'!E65="Tertiaire"),'Synthèse PER'!J65,0)</f>
        <v>0</v>
      </c>
      <c r="BB65" s="290">
        <f>IF(('Synthèse PER'!P65="A faire")*AND('Synthèse PER'!E65="Transport"),'Synthèse PER'!J65,0)</f>
        <v>0</v>
      </c>
      <c r="BC65" s="290">
        <f>IF(('Synthèse PER'!P65="A faire")*AND('Synthèse PER'!E65="Communal"),'Synthèse PER'!J65,0)</f>
        <v>0</v>
      </c>
      <c r="BD65" s="288"/>
      <c r="BE65" s="290">
        <f>IF(('Synthèse PER'!P65="A faire")*AND('Synthèse PER'!E65="Territoire"),'Synthèse PER'!K65,0)</f>
        <v>0</v>
      </c>
      <c r="BF65" s="290">
        <f>IF(('Synthèse PER'!P65="A faire")*AND('Synthèse PER'!E65="Agriculture"),'Synthèse PER'!K65,0)</f>
        <v>0</v>
      </c>
      <c r="BG65" s="290">
        <f>IF(('Synthèse PER'!P65="A faire")*AND('Synthèse PER'!E65="Industrie"),'Synthèse PER'!K65,0)</f>
        <v>0</v>
      </c>
      <c r="BH65" s="290">
        <f>IF(('Synthèse PER'!P65="A faire")*AND('Synthèse PER'!E65="Logement"),'Synthèse PER'!K65,0)</f>
        <v>38969.21058897012</v>
      </c>
      <c r="BI65" s="290">
        <f>IF(('Synthèse PER'!P65="A faire")*AND('Synthèse PER'!E65="Tertiaire"),'Synthèse PER'!K65,0)</f>
        <v>0</v>
      </c>
      <c r="BJ65" s="290">
        <f>IF(('Synthèse PER'!P65="A faire")*AND('Synthèse PER'!E65="Transport"),'Synthèse PER'!K65,0)</f>
        <v>0</v>
      </c>
      <c r="BK65" s="290">
        <f>IF(('Synthèse PER'!P65="A faire")*AND('Synthèse PER'!E65="Communal"),'Synthèse PER'!K65,0)</f>
        <v>0</v>
      </c>
      <c r="BL65" s="288"/>
      <c r="BM65" s="290">
        <f>IF(('Synthèse PER'!P65="A faire")*AND('Synthèse PER'!E65="Territoire"),'Synthèse PER'!L65,0)</f>
        <v>0</v>
      </c>
      <c r="BN65" s="290">
        <f>IF(('Synthèse PER'!P65="A faire")*AND('Synthèse PER'!E65="Agriculture"),'Synthèse PER'!L65,0)</f>
        <v>0</v>
      </c>
      <c r="BO65" s="290">
        <f>IF(('Synthèse PER'!P65="A faire")*AND('Synthèse PER'!E65="Industrie"),'Synthèse PER'!L65,0)</f>
        <v>0</v>
      </c>
      <c r="BP65" s="290">
        <f>IF(('Synthèse PER'!P65="A faire")*AND('Synthèse PER'!E65="Logement"),'Synthèse PER'!L65,0)</f>
        <v>0</v>
      </c>
      <c r="BQ65" s="290">
        <f>IF(('Synthèse PER'!P65="A faire")*AND('Synthèse PER'!E65="Tertiaire"),'Synthèse PER'!L65,0)</f>
        <v>0</v>
      </c>
      <c r="BR65" s="290">
        <f>IF(('Synthèse PER'!P65="A faire")*AND('Synthèse PER'!E65="Transport"),'Synthèse PER'!L65,0)</f>
        <v>0</v>
      </c>
      <c r="BS65" s="290">
        <f>IF(('Synthèse PER'!P65="A faire")*AND('Synthèse PER'!E65="Communal"),'Synthèse PER'!L65,0)</f>
        <v>0</v>
      </c>
      <c r="BT65" s="290"/>
    </row>
    <row r="66" spans="1:72" s="139" customFormat="1" x14ac:dyDescent="0.25">
      <c r="A66" s="369" t="s">
        <v>116</v>
      </c>
      <c r="B66" s="578" t="str">
        <f>'ADU-35'!B$3:E$3</f>
        <v>Performance énergétique</v>
      </c>
      <c r="C66" s="419">
        <f>'ADU-35'!$B$8</f>
        <v>0</v>
      </c>
      <c r="D66" s="133">
        <f>'ADU-35'!$B$9</f>
        <v>0</v>
      </c>
      <c r="E66" s="133" t="str">
        <f>'ADU-35'!$B$4</f>
        <v>Logement</v>
      </c>
      <c r="F66" s="133">
        <f>'ADU-35'!$B$12</f>
        <v>0</v>
      </c>
      <c r="G66" s="133" t="str">
        <f>'ADU-35'!$B$6</f>
        <v>Fonds propres</v>
      </c>
      <c r="H66" s="134">
        <f>'ADU-35'!$B$17</f>
        <v>0</v>
      </c>
      <c r="I66" s="133" t="str">
        <f>'ADU-35'!$B$7</f>
        <v>Néant</v>
      </c>
      <c r="J66" s="134">
        <f>'ADU-35'!$B$18</f>
        <v>0</v>
      </c>
      <c r="K66" s="134">
        <f>'ADU-35'!$B$21</f>
        <v>0</v>
      </c>
      <c r="L66" s="134">
        <f>'ADU-35'!$B$22</f>
        <v>0</v>
      </c>
      <c r="M66" s="135" t="e">
        <f>'ADU-35'!$B$24</f>
        <v>#DIV/0!</v>
      </c>
      <c r="N66" s="220">
        <f>'ADU-35'!$B$19/1000</f>
        <v>0</v>
      </c>
      <c r="O66" s="136">
        <f t="shared" si="56"/>
        <v>0</v>
      </c>
      <c r="P66" s="137" t="str">
        <f>'ADU-35'!$B$5</f>
        <v>A faire</v>
      </c>
      <c r="Q66" s="140">
        <f>'ADU-35'!$B$16</f>
        <v>0</v>
      </c>
      <c r="R66" s="283" t="str">
        <f t="shared" si="57"/>
        <v/>
      </c>
      <c r="S66" s="138">
        <f t="shared" si="58"/>
        <v>0</v>
      </c>
      <c r="T66" s="138">
        <f t="shared" si="59"/>
        <v>0</v>
      </c>
      <c r="U66" s="138">
        <f t="shared" si="60"/>
        <v>0</v>
      </c>
      <c r="V66" s="138">
        <f t="shared" si="61"/>
        <v>0</v>
      </c>
      <c r="W66" s="138">
        <f t="shared" si="62"/>
        <v>0</v>
      </c>
      <c r="X66" s="138">
        <f t="shared" si="63"/>
        <v>0</v>
      </c>
      <c r="Y66" s="138">
        <f t="shared" si="64"/>
        <v>0</v>
      </c>
      <c r="AA66" s="287">
        <f>IF(('Synthèse PER'!P66="A faire")*AND('Synthèse PER'!F66="Agriculture"),'Synthèse PER'!H66,0)</f>
        <v>0</v>
      </c>
      <c r="AB66" s="287">
        <f>IF(('Synthèse PER'!P66="A faire")*AND('Synthèse PER'!F66="Industrie"),'Synthèse PER'!H66,0)</f>
        <v>0</v>
      </c>
      <c r="AC66" s="287">
        <f>IF(('Synthèse PER'!P66="A faire")*AND('Synthèse PER'!F66="Citoyen"),'Synthèse PER'!H66,0)</f>
        <v>0</v>
      </c>
      <c r="AD66" s="287">
        <f>IF(('Synthèse PER'!P66="A faire")*AND('Synthèse PER'!F66="IDELUX"),'Synthèse PER'!H66,0)</f>
        <v>0</v>
      </c>
      <c r="AE66" s="290">
        <f>IF(('Synthèse PER'!P66="A faire")*AND('Synthèse PER'!F66="AC MESSANCY"),'Synthèse PER'!H66,0)</f>
        <v>0</v>
      </c>
      <c r="AF66" s="287">
        <f>IF(('Synthèse PER'!P66="A faire")*AND('Synthèse PER'!F66="Tertiaire"),'Synthèse PER'!H66,0)</f>
        <v>0</v>
      </c>
      <c r="AG66" s="288"/>
      <c r="AH66" s="290">
        <f>IF(('Synthèse PER'!P66="A faire")*AND('Synthèse PER'!F66="Agriculture"),'Synthèse PER'!J66,0)</f>
        <v>0</v>
      </c>
      <c r="AI66" s="290">
        <f>IF(('Synthèse PER'!P66="A faire")*AND('Synthèse PER'!F66="Industrie"),'Synthèse PER'!J66,0)</f>
        <v>0</v>
      </c>
      <c r="AJ66" s="290">
        <f>IF(('Synthèse PER'!P66="A faire")*AND('Synthèse PER'!F66="Citoyen"),'Synthèse PER'!J66,0)</f>
        <v>0</v>
      </c>
      <c r="AK66" s="290">
        <f>IF(('Synthèse PER'!P66="A faire")*AND('Synthèse PER'!F66="IDELUX"),'Synthèse PER'!J66,0)</f>
        <v>0</v>
      </c>
      <c r="AL66" s="290">
        <f>IF(('Synthèse PER'!P66="A faire")*AND('Synthèse PER'!F66="AC MESSANCY"),'Synthèse PER'!J66,0)</f>
        <v>0</v>
      </c>
      <c r="AM66" s="290">
        <f>IF(('Synthèse PER'!P66="A faire")*AND('Synthèse PER'!F66="Tertiaire"),'Synthèse PER'!J66,0)</f>
        <v>0</v>
      </c>
      <c r="AN66" s="288"/>
      <c r="AO66" s="290">
        <f>IF(('Synthèse PER'!P66="A faire")*AND('Synthèse PER'!E66="Territoire"),'Synthèse PER'!H66,0)</f>
        <v>0</v>
      </c>
      <c r="AP66" s="290">
        <f>IF(('Synthèse PER'!P66="A faire")*AND('Synthèse PER'!E66="Agriculture"),'Synthèse PER'!H66,0)</f>
        <v>0</v>
      </c>
      <c r="AQ66" s="290">
        <f>IF(('Synthèse PER'!P66="A faire")*AND('Synthèse PER'!E66="Industrie"),'Synthèse PER'!H66,0)</f>
        <v>0</v>
      </c>
      <c r="AR66" s="290">
        <f>IF(('Synthèse PER'!P66="A faire")*AND('Synthèse PER'!E66="Logement"),'Synthèse PER'!H66,0)</f>
        <v>0</v>
      </c>
      <c r="AS66" s="290">
        <f>IF(('Synthèse PER'!P66="A faire")*AND('Synthèse PER'!E66="Tertiaire"),'Synthèse PER'!H66,0)</f>
        <v>0</v>
      </c>
      <c r="AT66" s="290">
        <f>IF(('Synthèse PER'!P66="A faire")*AND('Synthèse PER'!E66="Transport"),'Synthèse PER'!H66,0)</f>
        <v>0</v>
      </c>
      <c r="AU66" s="290">
        <f>IF(('Synthèse PER'!P66="A faire")*AND('Synthèse PER'!E66="Communal"),'Synthèse PER'!H66,0)</f>
        <v>0</v>
      </c>
      <c r="AV66" s="288"/>
      <c r="AW66" s="290">
        <f>IF(('Synthèse PER'!P66="A faire")*AND('Synthèse PER'!E66="Territoire"),'Synthèse PER'!J66,0)</f>
        <v>0</v>
      </c>
      <c r="AX66" s="290">
        <f>IF(('Synthèse PER'!P66="A faire")*AND('Synthèse PER'!E66="Agriculture"),'Synthèse PER'!J66,0)</f>
        <v>0</v>
      </c>
      <c r="AY66" s="290">
        <f>IF(('Synthèse PER'!P66="A faire")*AND('Synthèse PER'!E66="Industrie"),'Synthèse PER'!J66,0)</f>
        <v>0</v>
      </c>
      <c r="AZ66" s="290">
        <f>IF(('Synthèse PER'!P66="A faire")*AND('Synthèse PER'!E66="Logement"),'Synthèse PER'!J66,0)</f>
        <v>0</v>
      </c>
      <c r="BA66" s="290">
        <f>IF(('Synthèse PER'!P66="A faire")*AND('Synthèse PER'!E66="Tertiaire"),'Synthèse PER'!J66,0)</f>
        <v>0</v>
      </c>
      <c r="BB66" s="290">
        <f>IF(('Synthèse PER'!P66="A faire")*AND('Synthèse PER'!E66="Transport"),'Synthèse PER'!J66,0)</f>
        <v>0</v>
      </c>
      <c r="BC66" s="290">
        <f>IF(('Synthèse PER'!P66="A faire")*AND('Synthèse PER'!E66="Communal"),'Synthèse PER'!J66,0)</f>
        <v>0</v>
      </c>
      <c r="BD66" s="288"/>
      <c r="BE66" s="290">
        <f>IF(('Synthèse PER'!P66="A faire")*AND('Synthèse PER'!E66="Territoire"),'Synthèse PER'!K66,0)</f>
        <v>0</v>
      </c>
      <c r="BF66" s="290">
        <f>IF(('Synthèse PER'!P66="A faire")*AND('Synthèse PER'!E66="Agriculture"),'Synthèse PER'!K66,0)</f>
        <v>0</v>
      </c>
      <c r="BG66" s="290">
        <f>IF(('Synthèse PER'!P66="A faire")*AND('Synthèse PER'!E66="Industrie"),'Synthèse PER'!K66,0)</f>
        <v>0</v>
      </c>
      <c r="BH66" s="290">
        <f>IF(('Synthèse PER'!P66="A faire")*AND('Synthèse PER'!E66="Logement"),'Synthèse PER'!K66,0)</f>
        <v>0</v>
      </c>
      <c r="BI66" s="290">
        <f>IF(('Synthèse PER'!P66="A faire")*AND('Synthèse PER'!E66="Tertiaire"),'Synthèse PER'!K66,0)</f>
        <v>0</v>
      </c>
      <c r="BJ66" s="290">
        <f>IF(('Synthèse PER'!P66="A faire")*AND('Synthèse PER'!E66="Transport"),'Synthèse PER'!K66,0)</f>
        <v>0</v>
      </c>
      <c r="BK66" s="290">
        <f>IF(('Synthèse PER'!P66="A faire")*AND('Synthèse PER'!E66="Communal"),'Synthèse PER'!K66,0)</f>
        <v>0</v>
      </c>
      <c r="BL66" s="288"/>
      <c r="BM66" s="290">
        <f>IF(('Synthèse PER'!P66="A faire")*AND('Synthèse PER'!E66="Territoire"),'Synthèse PER'!L66,0)</f>
        <v>0</v>
      </c>
      <c r="BN66" s="290">
        <f>IF(('Synthèse PER'!P66="A faire")*AND('Synthèse PER'!E66="Agriculture"),'Synthèse PER'!L66,0)</f>
        <v>0</v>
      </c>
      <c r="BO66" s="290">
        <f>IF(('Synthèse PER'!P66="A faire")*AND('Synthèse PER'!E66="Industrie"),'Synthèse PER'!L66,0)</f>
        <v>0</v>
      </c>
      <c r="BP66" s="290">
        <f>IF(('Synthèse PER'!P66="A faire")*AND('Synthèse PER'!E66="Logement"),'Synthèse PER'!L66,0)</f>
        <v>0</v>
      </c>
      <c r="BQ66" s="290">
        <f>IF(('Synthèse PER'!P66="A faire")*AND('Synthèse PER'!E66="Tertiaire"),'Synthèse PER'!L66,0)</f>
        <v>0</v>
      </c>
      <c r="BR66" s="290">
        <f>IF(('Synthèse PER'!P66="A faire")*AND('Synthèse PER'!E66="Transport"),'Synthèse PER'!L66,0)</f>
        <v>0</v>
      </c>
      <c r="BS66" s="290">
        <f>IF(('Synthèse PER'!P66="A faire")*AND('Synthèse PER'!E66="Communal"),'Synthèse PER'!L66,0)</f>
        <v>0</v>
      </c>
      <c r="BT66" s="290"/>
    </row>
    <row r="67" spans="1:72" s="139" customFormat="1" x14ac:dyDescent="0.25">
      <c r="A67" s="369" t="s">
        <v>812</v>
      </c>
      <c r="B67" s="414" t="str">
        <f>'ADU-50'!B$3:E$3</f>
        <v>Mobilité</v>
      </c>
      <c r="C67" s="419" t="str">
        <f>'ADU-50'!$B$8</f>
        <v>Transport</v>
      </c>
      <c r="D67" s="133" t="str">
        <f>'ADU-50'!$B$9</f>
        <v>Formation à l'éco-conduite</v>
      </c>
      <c r="E67" s="133" t="str">
        <f>'ADU-50'!$B$4</f>
        <v>Transport</v>
      </c>
      <c r="F67" s="133" t="str">
        <f>'ADU-50'!$B$12</f>
        <v>Citoyen</v>
      </c>
      <c r="G67" s="133" t="str">
        <f>'ADU-50'!$B$6</f>
        <v>Fonds propres</v>
      </c>
      <c r="H67" s="134">
        <f>'ADU-50'!$B$17</f>
        <v>7500</v>
      </c>
      <c r="I67" s="133" t="str">
        <f>'ADU-50'!$B$7</f>
        <v>Néant</v>
      </c>
      <c r="J67" s="134">
        <f>'ADU-50'!$B$18</f>
        <v>0</v>
      </c>
      <c r="K67" s="134">
        <f>'ADU-50'!$B$21</f>
        <v>22305.600000000002</v>
      </c>
      <c r="L67" s="134">
        <f>'ADU-50'!$B$22</f>
        <v>0</v>
      </c>
      <c r="M67" s="135">
        <f>'ADU-50'!$B$24</f>
        <v>0.33623843339789106</v>
      </c>
      <c r="N67" s="135">
        <f>'ADU-50'!$B$19/1000</f>
        <v>139.41</v>
      </c>
      <c r="O67" s="136"/>
      <c r="P67" s="137" t="str">
        <f>'ADU-50'!$B$5</f>
        <v>A faire</v>
      </c>
      <c r="Q67" s="140">
        <f>'ADU-50'!$B$16</f>
        <v>2030</v>
      </c>
      <c r="R67" s="283" t="str">
        <f t="shared" si="47"/>
        <v/>
      </c>
      <c r="S67" s="138">
        <f t="shared" si="9"/>
        <v>0</v>
      </c>
      <c r="T67" s="138">
        <f t="shared" si="10"/>
        <v>0</v>
      </c>
      <c r="U67" s="138">
        <f t="shared" si="11"/>
        <v>0</v>
      </c>
      <c r="V67" s="138">
        <f t="shared" si="12"/>
        <v>0</v>
      </c>
      <c r="W67" s="138">
        <f t="shared" si="13"/>
        <v>0</v>
      </c>
      <c r="X67" s="138">
        <f t="shared" si="14"/>
        <v>0</v>
      </c>
      <c r="Y67" s="138">
        <f t="shared" si="15"/>
        <v>0</v>
      </c>
      <c r="AA67" s="287">
        <f>IF(('Synthèse PER'!P67="A faire")*AND('Synthèse PER'!F67="Agriculture"),'Synthèse PER'!H67,0)</f>
        <v>0</v>
      </c>
      <c r="AB67" s="287">
        <f>IF(('Synthèse PER'!P67="A faire")*AND('Synthèse PER'!F67="Industrie"),'Synthèse PER'!H67,0)</f>
        <v>0</v>
      </c>
      <c r="AC67" s="287">
        <f>IF(('Synthèse PER'!P67="A faire")*AND('Synthèse PER'!F67="Citoyen"),'Synthèse PER'!H67,0)</f>
        <v>7500</v>
      </c>
      <c r="AD67" s="287">
        <f>IF(('Synthèse PER'!P67="A faire")*AND('Synthèse PER'!F67="IDELUX"),'Synthèse PER'!H67,0)</f>
        <v>0</v>
      </c>
      <c r="AE67" s="290">
        <f>IF(('Synthèse PER'!P67="A faire")*AND('Synthèse PER'!F67="AC MESSANCY"),'Synthèse PER'!H67,0)</f>
        <v>0</v>
      </c>
      <c r="AF67" s="287">
        <f>IF(('Synthèse PER'!P67="A faire")*AND('Synthèse PER'!F67="Tertiaire"),'Synthèse PER'!H67,0)</f>
        <v>0</v>
      </c>
      <c r="AG67" s="288"/>
      <c r="AH67" s="290">
        <f>IF(('Synthèse PER'!P67="A faire")*AND('Synthèse PER'!F67="Agriculture"),'Synthèse PER'!J67,0)</f>
        <v>0</v>
      </c>
      <c r="AI67" s="290">
        <f>IF(('Synthèse PER'!P67="A faire")*AND('Synthèse PER'!F67="Industrie"),'Synthèse PER'!J67,0)</f>
        <v>0</v>
      </c>
      <c r="AJ67" s="290">
        <f>IF(('Synthèse PER'!P67="A faire")*AND('Synthèse PER'!F67="Citoyen"),'Synthèse PER'!J67,0)</f>
        <v>0</v>
      </c>
      <c r="AK67" s="290">
        <f>IF(('Synthèse PER'!P67="A faire")*AND('Synthèse PER'!F67="IDELUX"),'Synthèse PER'!J67,0)</f>
        <v>0</v>
      </c>
      <c r="AL67" s="290">
        <f>IF(('Synthèse PER'!P67="A faire")*AND('Synthèse PER'!F67="AC MESSANCY"),'Synthèse PER'!J67,0)</f>
        <v>0</v>
      </c>
      <c r="AM67" s="290">
        <f>IF(('Synthèse PER'!P67="A faire")*AND('Synthèse PER'!F67="Tertiaire"),'Synthèse PER'!J67,0)</f>
        <v>0</v>
      </c>
      <c r="AN67" s="288"/>
      <c r="AO67" s="290">
        <f>IF(('Synthèse PER'!P67="A faire")*AND('Synthèse PER'!E67="Territoire"),'Synthèse PER'!H67,0)</f>
        <v>0</v>
      </c>
      <c r="AP67" s="290">
        <f>IF(('Synthèse PER'!P67="A faire")*AND('Synthèse PER'!E67="Agriculture"),'Synthèse PER'!H67,0)</f>
        <v>0</v>
      </c>
      <c r="AQ67" s="290">
        <f>IF(('Synthèse PER'!P67="A faire")*AND('Synthèse PER'!E67="Industrie"),'Synthèse PER'!H67,0)</f>
        <v>0</v>
      </c>
      <c r="AR67" s="290">
        <f>IF(('Synthèse PER'!P67="A faire")*AND('Synthèse PER'!E67="Logement"),'Synthèse PER'!H67,0)</f>
        <v>0</v>
      </c>
      <c r="AS67" s="290">
        <f>IF(('Synthèse PER'!P67="A faire")*AND('Synthèse PER'!E67="Tertiaire"),'Synthèse PER'!H67,0)</f>
        <v>0</v>
      </c>
      <c r="AT67" s="290">
        <f>IF(('Synthèse PER'!P67="A faire")*AND('Synthèse PER'!E67="Transport"),'Synthèse PER'!H67,0)</f>
        <v>7500</v>
      </c>
      <c r="AU67" s="290">
        <f>IF(('Synthèse PER'!P67="A faire")*AND('Synthèse PER'!E67="Communal"),'Synthèse PER'!H67,0)</f>
        <v>0</v>
      </c>
      <c r="AV67" s="288"/>
      <c r="AW67" s="290">
        <f>IF(('Synthèse PER'!P67="A faire")*AND('Synthèse PER'!E67="Territoire"),'Synthèse PER'!J67,0)</f>
        <v>0</v>
      </c>
      <c r="AX67" s="290">
        <f>IF(('Synthèse PER'!P67="A faire")*AND('Synthèse PER'!E67="Agriculture"),'Synthèse PER'!J67,0)</f>
        <v>0</v>
      </c>
      <c r="AY67" s="290">
        <f>IF(('Synthèse PER'!P67="A faire")*AND('Synthèse PER'!E67="Industrie"),'Synthèse PER'!J67,0)</f>
        <v>0</v>
      </c>
      <c r="AZ67" s="290">
        <f>IF(('Synthèse PER'!P67="A faire")*AND('Synthèse PER'!E67="Logement"),'Synthèse PER'!J67,0)</f>
        <v>0</v>
      </c>
      <c r="BA67" s="290">
        <f>IF(('Synthèse PER'!P67="A faire")*AND('Synthèse PER'!E67="Tertiaire"),'Synthèse PER'!J67,0)</f>
        <v>0</v>
      </c>
      <c r="BB67" s="290">
        <f>IF(('Synthèse PER'!P67="A faire")*AND('Synthèse PER'!E67="Transport"),'Synthèse PER'!J67,0)</f>
        <v>0</v>
      </c>
      <c r="BC67" s="290">
        <f>IF(('Synthèse PER'!P67="A faire")*AND('Synthèse PER'!E67="Communal"),'Synthèse PER'!J67,0)</f>
        <v>0</v>
      </c>
      <c r="BD67" s="288"/>
      <c r="BE67" s="290">
        <f>IF(('Synthèse PER'!P67="A faire")*AND('Synthèse PER'!E67="Territoire"),'Synthèse PER'!K67,0)</f>
        <v>0</v>
      </c>
      <c r="BF67" s="290">
        <f>IF(('Synthèse PER'!P67="A faire")*AND('Synthèse PER'!E67="Agriculture"),'Synthèse PER'!K67,0)</f>
        <v>0</v>
      </c>
      <c r="BG67" s="290">
        <f>IF(('Synthèse PER'!P67="A faire")*AND('Synthèse PER'!E67="Industrie"),'Synthèse PER'!K67,0)</f>
        <v>0</v>
      </c>
      <c r="BH67" s="290">
        <f>IF(('Synthèse PER'!P67="A faire")*AND('Synthèse PER'!E67="Logement"),'Synthèse PER'!K67,0)</f>
        <v>0</v>
      </c>
      <c r="BI67" s="290">
        <f>IF(('Synthèse PER'!P67="A faire")*AND('Synthèse PER'!E67="Tertiaire"),'Synthèse PER'!K67,0)</f>
        <v>0</v>
      </c>
      <c r="BJ67" s="290">
        <f>IF(('Synthèse PER'!P67="A faire")*AND('Synthèse PER'!E67="Transport"),'Synthèse PER'!K67,0)</f>
        <v>22305.600000000002</v>
      </c>
      <c r="BK67" s="290">
        <f>IF(('Synthèse PER'!P67="A faire")*AND('Synthèse PER'!E67="Communal"),'Synthèse PER'!K67,0)</f>
        <v>0</v>
      </c>
      <c r="BL67" s="288"/>
      <c r="BM67" s="290">
        <f>IF(('Synthèse PER'!P67="A faire")*AND('Synthèse PER'!E67="Territoire"),'Synthèse PER'!L67,0)</f>
        <v>0</v>
      </c>
      <c r="BN67" s="290">
        <f>IF(('Synthèse PER'!P67="A faire")*AND('Synthèse PER'!E67="Agriculture"),'Synthèse PER'!L67,0)</f>
        <v>0</v>
      </c>
      <c r="BO67" s="290">
        <f>IF(('Synthèse PER'!P67="A faire")*AND('Synthèse PER'!E67="Industrie"),'Synthèse PER'!L67,0)</f>
        <v>0</v>
      </c>
      <c r="BP67" s="290">
        <f>IF(('Synthèse PER'!P67="A faire")*AND('Synthèse PER'!E67="Logement"),'Synthèse PER'!L67,0)</f>
        <v>0</v>
      </c>
      <c r="BQ67" s="290">
        <f>IF(('Synthèse PER'!P67="A faire")*AND('Synthèse PER'!E67="Tertiaire"),'Synthèse PER'!L67,0)</f>
        <v>0</v>
      </c>
      <c r="BR67" s="290">
        <f>IF(('Synthèse PER'!P67="A faire")*AND('Synthèse PER'!E67="Transport"),'Synthèse PER'!L67,0)</f>
        <v>0</v>
      </c>
      <c r="BS67" s="290">
        <f>IF(('Synthèse PER'!P67="A faire")*AND('Synthèse PER'!E67="Communal"),'Synthèse PER'!L67,0)</f>
        <v>0</v>
      </c>
      <c r="BT67" s="290">
        <f>IF(('Synthèse PER'!Q67="A faire")*AND('Synthèse PER'!F67="Communal"),'Synthèse PER'!M67,0)</f>
        <v>0</v>
      </c>
    </row>
    <row r="68" spans="1:72" s="139" customFormat="1" x14ac:dyDescent="0.25">
      <c r="A68" s="369" t="s">
        <v>811</v>
      </c>
      <c r="B68" s="414" t="str">
        <f>'ADU-51'!B$3:E$3</f>
        <v>Mobilité</v>
      </c>
      <c r="C68" s="419" t="str">
        <f>'ADU-51'!$B$8</f>
        <v>Transport</v>
      </c>
      <c r="D68" s="133" t="str">
        <f>'ADU-51'!$B$9</f>
        <v>Covoiturage</v>
      </c>
      <c r="E68" s="133" t="str">
        <f>'ADU-51'!$B$4</f>
        <v>Transport</v>
      </c>
      <c r="F68" s="133" t="str">
        <f>'ADU-51'!$B$12</f>
        <v>AC MESSANCY</v>
      </c>
      <c r="G68" s="133" t="str">
        <f>'ADU-51'!$B$6</f>
        <v>Néant</v>
      </c>
      <c r="H68" s="134">
        <f>'ADU-51'!$B$17</f>
        <v>0</v>
      </c>
      <c r="I68" s="133" t="str">
        <f>'ADU-51'!$B$7</f>
        <v>Néant</v>
      </c>
      <c r="J68" s="134">
        <f>'ADU-51'!$B$18</f>
        <v>0</v>
      </c>
      <c r="K68" s="134">
        <f>'ADU-51'!$B$21</f>
        <v>34.4</v>
      </c>
      <c r="L68" s="134">
        <f>'ADU-51'!$B$22</f>
        <v>0</v>
      </c>
      <c r="M68" s="135">
        <f>'ADU-51'!$B$24</f>
        <v>0</v>
      </c>
      <c r="N68" s="135">
        <f>'ADU-51'!$B$19/1000</f>
        <v>464.4</v>
      </c>
      <c r="O68" s="136"/>
      <c r="P68" s="137" t="str">
        <f>'ADU-51'!$B$5</f>
        <v>A faire</v>
      </c>
      <c r="Q68" s="140">
        <f>'ADU-51'!$B$16</f>
        <v>2030</v>
      </c>
      <c r="R68" s="283" t="str">
        <f t="shared" si="47"/>
        <v/>
      </c>
      <c r="S68" s="138">
        <f t="shared" si="9"/>
        <v>0</v>
      </c>
      <c r="T68" s="138">
        <f t="shared" si="10"/>
        <v>0</v>
      </c>
      <c r="U68" s="138">
        <f t="shared" si="11"/>
        <v>0</v>
      </c>
      <c r="V68" s="138">
        <f t="shared" si="12"/>
        <v>0</v>
      </c>
      <c r="W68" s="138">
        <f t="shared" si="13"/>
        <v>0</v>
      </c>
      <c r="X68" s="138">
        <f t="shared" si="14"/>
        <v>0</v>
      </c>
      <c r="Y68" s="138">
        <f t="shared" si="15"/>
        <v>0</v>
      </c>
      <c r="AA68" s="287">
        <f>IF(('Synthèse PER'!P68="A faire")*AND('Synthèse PER'!F68="Agriculture"),'Synthèse PER'!H68,0)</f>
        <v>0</v>
      </c>
      <c r="AB68" s="287">
        <f>IF(('Synthèse PER'!P68="A faire")*AND('Synthèse PER'!F68="Industrie"),'Synthèse PER'!H68,0)</f>
        <v>0</v>
      </c>
      <c r="AC68" s="287">
        <f>IF(('Synthèse PER'!P68="A faire")*AND('Synthèse PER'!F68="Citoyen"),'Synthèse PER'!H68,0)</f>
        <v>0</v>
      </c>
      <c r="AD68" s="287">
        <f>IF(('Synthèse PER'!P68="A faire")*AND('Synthèse PER'!F68="IDELUX"),'Synthèse PER'!H68,0)</f>
        <v>0</v>
      </c>
      <c r="AE68" s="290">
        <f>IF(('Synthèse PER'!P68="A faire")*AND('Synthèse PER'!F68="AC MESSANCY"),'Synthèse PER'!H68,0)</f>
        <v>0</v>
      </c>
      <c r="AF68" s="287">
        <f>IF(('Synthèse PER'!P68="A faire")*AND('Synthèse PER'!F68="Tertiaire"),'Synthèse PER'!H68,0)</f>
        <v>0</v>
      </c>
      <c r="AG68" s="288"/>
      <c r="AH68" s="290">
        <f>IF(('Synthèse PER'!P68="A faire")*AND('Synthèse PER'!F68="Agriculture"),'Synthèse PER'!J68,0)</f>
        <v>0</v>
      </c>
      <c r="AI68" s="290">
        <f>IF(('Synthèse PER'!P68="A faire")*AND('Synthèse PER'!F68="Industrie"),'Synthèse PER'!J68,0)</f>
        <v>0</v>
      </c>
      <c r="AJ68" s="290">
        <f>IF(('Synthèse PER'!P68="A faire")*AND('Synthèse PER'!F68="Citoyen"),'Synthèse PER'!J68,0)</f>
        <v>0</v>
      </c>
      <c r="AK68" s="290">
        <f>IF(('Synthèse PER'!P68="A faire")*AND('Synthèse PER'!F68="IDELUX"),'Synthèse PER'!J68,0)</f>
        <v>0</v>
      </c>
      <c r="AL68" s="290">
        <f>IF(('Synthèse PER'!P68="A faire")*AND('Synthèse PER'!F68="AC MESSANCY"),'Synthèse PER'!J68,0)</f>
        <v>0</v>
      </c>
      <c r="AM68" s="290">
        <f>IF(('Synthèse PER'!P68="A faire")*AND('Synthèse PER'!F68="Tertiaire"),'Synthèse PER'!J68,0)</f>
        <v>0</v>
      </c>
      <c r="AN68" s="288"/>
      <c r="AO68" s="290">
        <f>IF(('Synthèse PER'!P68="A faire")*AND('Synthèse PER'!E68="Territoire"),'Synthèse PER'!H68,0)</f>
        <v>0</v>
      </c>
      <c r="AP68" s="290">
        <f>IF(('Synthèse PER'!P68="A faire")*AND('Synthèse PER'!E68="Agriculture"),'Synthèse PER'!H68,0)</f>
        <v>0</v>
      </c>
      <c r="AQ68" s="290">
        <f>IF(('Synthèse PER'!P68="A faire")*AND('Synthèse PER'!E68="Industrie"),'Synthèse PER'!H68,0)</f>
        <v>0</v>
      </c>
      <c r="AR68" s="290">
        <f>IF(('Synthèse PER'!P68="A faire")*AND('Synthèse PER'!E68="Logement"),'Synthèse PER'!H68,0)</f>
        <v>0</v>
      </c>
      <c r="AS68" s="290">
        <f>IF(('Synthèse PER'!P68="A faire")*AND('Synthèse PER'!E68="Tertiaire"),'Synthèse PER'!H68,0)</f>
        <v>0</v>
      </c>
      <c r="AT68" s="290">
        <f>IF(('Synthèse PER'!P68="A faire")*AND('Synthèse PER'!E68="Transport"),'Synthèse PER'!H68,0)</f>
        <v>0</v>
      </c>
      <c r="AU68" s="290">
        <f>IF(('Synthèse PER'!P68="A faire")*AND('Synthèse PER'!E68="Communal"),'Synthèse PER'!H68,0)</f>
        <v>0</v>
      </c>
      <c r="AV68" s="288"/>
      <c r="AW68" s="290">
        <f>IF(('Synthèse PER'!P68="A faire")*AND('Synthèse PER'!E68="Territoire"),'Synthèse PER'!J68,0)</f>
        <v>0</v>
      </c>
      <c r="AX68" s="290">
        <f>IF(('Synthèse PER'!P68="A faire")*AND('Synthèse PER'!E68="Agriculture"),'Synthèse PER'!J68,0)</f>
        <v>0</v>
      </c>
      <c r="AY68" s="290">
        <f>IF(('Synthèse PER'!P68="A faire")*AND('Synthèse PER'!E68="Industrie"),'Synthèse PER'!J68,0)</f>
        <v>0</v>
      </c>
      <c r="AZ68" s="290">
        <f>IF(('Synthèse PER'!P68="A faire")*AND('Synthèse PER'!E68="Logement"),'Synthèse PER'!J68,0)</f>
        <v>0</v>
      </c>
      <c r="BA68" s="290">
        <f>IF(('Synthèse PER'!P68="A faire")*AND('Synthèse PER'!E68="Tertiaire"),'Synthèse PER'!J68,0)</f>
        <v>0</v>
      </c>
      <c r="BB68" s="290">
        <f>IF(('Synthèse PER'!P68="A faire")*AND('Synthèse PER'!E68="Transport"),'Synthèse PER'!J68,0)</f>
        <v>0</v>
      </c>
      <c r="BC68" s="290">
        <f>IF(('Synthèse PER'!P68="A faire")*AND('Synthèse PER'!E68="Communal"),'Synthèse PER'!J68,0)</f>
        <v>0</v>
      </c>
      <c r="BD68" s="288"/>
      <c r="BE68" s="290">
        <f>IF(('Synthèse PER'!P68="A faire")*AND('Synthèse PER'!E68="Territoire"),'Synthèse PER'!K68,0)</f>
        <v>0</v>
      </c>
      <c r="BF68" s="290">
        <f>IF(('Synthèse PER'!P68="A faire")*AND('Synthèse PER'!E68="Agriculture"),'Synthèse PER'!K68,0)</f>
        <v>0</v>
      </c>
      <c r="BG68" s="290">
        <f>IF(('Synthèse PER'!P68="A faire")*AND('Synthèse PER'!E68="Industrie"),'Synthèse PER'!K68,0)</f>
        <v>0</v>
      </c>
      <c r="BH68" s="290">
        <f>IF(('Synthèse PER'!P68="A faire")*AND('Synthèse PER'!E68="Logement"),'Synthèse PER'!K68,0)</f>
        <v>0</v>
      </c>
      <c r="BI68" s="290">
        <f>IF(('Synthèse PER'!P68="A faire")*AND('Synthèse PER'!E68="Tertiaire"),'Synthèse PER'!K68,0)</f>
        <v>0</v>
      </c>
      <c r="BJ68" s="290">
        <f>IF(('Synthèse PER'!P68="A faire")*AND('Synthèse PER'!E68="Transport"),'Synthèse PER'!K68,0)</f>
        <v>34.4</v>
      </c>
      <c r="BK68" s="290">
        <f>IF(('Synthèse PER'!P68="A faire")*AND('Synthèse PER'!E68="Communal"),'Synthèse PER'!K68,0)</f>
        <v>0</v>
      </c>
      <c r="BL68" s="288"/>
      <c r="BM68" s="290">
        <f>IF(('Synthèse PER'!P68="A faire")*AND('Synthèse PER'!E68="Territoire"),'Synthèse PER'!L68,0)</f>
        <v>0</v>
      </c>
      <c r="BN68" s="290">
        <f>IF(('Synthèse PER'!P68="A faire")*AND('Synthèse PER'!E68="Agriculture"),'Synthèse PER'!L68,0)</f>
        <v>0</v>
      </c>
      <c r="BO68" s="290">
        <f>IF(('Synthèse PER'!P68="A faire")*AND('Synthèse PER'!E68="Industrie"),'Synthèse PER'!L68,0)</f>
        <v>0</v>
      </c>
      <c r="BP68" s="290">
        <f>IF(('Synthèse PER'!P68="A faire")*AND('Synthèse PER'!E68="Logement"),'Synthèse PER'!L68,0)</f>
        <v>0</v>
      </c>
      <c r="BQ68" s="290">
        <f>IF(('Synthèse PER'!P68="A faire")*AND('Synthèse PER'!E68="Tertiaire"),'Synthèse PER'!L68,0)</f>
        <v>0</v>
      </c>
      <c r="BR68" s="290">
        <f>IF(('Synthèse PER'!P68="A faire")*AND('Synthèse PER'!E68="Transport"),'Synthèse PER'!L68,0)</f>
        <v>0</v>
      </c>
      <c r="BS68" s="290">
        <f>IF(('Synthèse PER'!P68="A faire")*AND('Synthèse PER'!E68="Communal"),'Synthèse PER'!L68,0)</f>
        <v>0</v>
      </c>
      <c r="BT68" s="290">
        <f>IF(('Synthèse PER'!Q68="A faire")*AND('Synthèse PER'!F68="Communal"),'Synthèse PER'!M68,0)</f>
        <v>0</v>
      </c>
    </row>
    <row r="69" spans="1:72" s="139" customFormat="1" x14ac:dyDescent="0.25">
      <c r="A69" s="369" t="s">
        <v>810</v>
      </c>
      <c r="B69" s="414" t="str">
        <f>'ADU-52'!B$3:E$3</f>
        <v>Mobilité</v>
      </c>
      <c r="C69" s="419" t="str">
        <f>'ADU-52'!$B$8</f>
        <v>Véhicules de service</v>
      </c>
      <c r="D69" s="133" t="str">
        <f>'ADU-52'!$B$9</f>
        <v>Véhicules de service électriques</v>
      </c>
      <c r="E69" s="133" t="str">
        <f>'ADU-52'!$B$4</f>
        <v>Transport</v>
      </c>
      <c r="F69" s="133" t="str">
        <f>'ADU-52'!$B$12</f>
        <v>AC MESSANCY</v>
      </c>
      <c r="G69" s="133" t="str">
        <f>'ADU-52'!$B$6</f>
        <v>Fonds propres</v>
      </c>
      <c r="H69" s="134">
        <f>'ADU-52'!$B$17</f>
        <v>30000</v>
      </c>
      <c r="I69" s="133" t="str">
        <f>'ADU-52'!$B$7</f>
        <v>Néant</v>
      </c>
      <c r="J69" s="134">
        <f>'ADU-52'!$B$18</f>
        <v>0</v>
      </c>
      <c r="K69" s="134">
        <f>'ADU-52'!$B$21</f>
        <v>1610.4326530612245</v>
      </c>
      <c r="L69" s="134">
        <f>'ADU-52'!$B$22</f>
        <v>0</v>
      </c>
      <c r="M69" s="135">
        <f>'ADU-52'!$B$24</f>
        <v>6.2095114508460139</v>
      </c>
      <c r="N69" s="135">
        <f>'ADU-52'!$B$19/1000</f>
        <v>5.6902040816326522</v>
      </c>
      <c r="O69" s="136">
        <f>IF(H69=0,0,N69/(H69-J69)*1000)</f>
        <v>0.18967346938775509</v>
      </c>
      <c r="P69" s="137" t="str">
        <f>'ADU-52'!$B$5</f>
        <v>A faire</v>
      </c>
      <c r="Q69" s="140">
        <f>'ADU-52'!$B$16</f>
        <v>2030</v>
      </c>
      <c r="R69" s="283" t="str">
        <f t="shared" si="47"/>
        <v/>
      </c>
      <c r="S69" s="138">
        <f t="shared" si="9"/>
        <v>0</v>
      </c>
      <c r="T69" s="138">
        <f t="shared" si="10"/>
        <v>0</v>
      </c>
      <c r="U69" s="138">
        <f t="shared" si="11"/>
        <v>0</v>
      </c>
      <c r="V69" s="138">
        <f t="shared" si="12"/>
        <v>0</v>
      </c>
      <c r="W69" s="138">
        <f t="shared" si="13"/>
        <v>0</v>
      </c>
      <c r="X69" s="138">
        <f t="shared" si="14"/>
        <v>0</v>
      </c>
      <c r="Y69" s="138">
        <f t="shared" si="15"/>
        <v>0</v>
      </c>
      <c r="AA69" s="287">
        <f>IF(('Synthèse PER'!P69="A faire")*AND('Synthèse PER'!F69="Agriculture"),'Synthèse PER'!H69,0)</f>
        <v>0</v>
      </c>
      <c r="AB69" s="287">
        <f>IF(('Synthèse PER'!P69="A faire")*AND('Synthèse PER'!F69="Industrie"),'Synthèse PER'!H69,0)</f>
        <v>0</v>
      </c>
      <c r="AC69" s="287">
        <f>IF(('Synthèse PER'!P69="A faire")*AND('Synthèse PER'!F69="Citoyen"),'Synthèse PER'!H69,0)</f>
        <v>0</v>
      </c>
      <c r="AD69" s="287">
        <f>IF(('Synthèse PER'!P69="A faire")*AND('Synthèse PER'!F69="IDELUX"),'Synthèse PER'!H69,0)</f>
        <v>0</v>
      </c>
      <c r="AE69" s="290">
        <f>IF(('Synthèse PER'!P69="A faire")*AND('Synthèse PER'!F69="AC MESSANCY"),'Synthèse PER'!H69,0)</f>
        <v>30000</v>
      </c>
      <c r="AF69" s="287">
        <f>IF(('Synthèse PER'!P69="A faire")*AND('Synthèse PER'!F69="Tertiaire"),'Synthèse PER'!H69,0)</f>
        <v>0</v>
      </c>
      <c r="AG69" s="288"/>
      <c r="AH69" s="290">
        <f>IF(('Synthèse PER'!P69="A faire")*AND('Synthèse PER'!F69="Agriculture"),'Synthèse PER'!J69,0)</f>
        <v>0</v>
      </c>
      <c r="AI69" s="290">
        <f>IF(('Synthèse PER'!P69="A faire")*AND('Synthèse PER'!F69="Industrie"),'Synthèse PER'!J69,0)</f>
        <v>0</v>
      </c>
      <c r="AJ69" s="290">
        <f>IF(('Synthèse PER'!P69="A faire")*AND('Synthèse PER'!F69="Citoyen"),'Synthèse PER'!J69,0)</f>
        <v>0</v>
      </c>
      <c r="AK69" s="290">
        <f>IF(('Synthèse PER'!P69="A faire")*AND('Synthèse PER'!F69="IDELUX"),'Synthèse PER'!J69,0)</f>
        <v>0</v>
      </c>
      <c r="AL69" s="290">
        <f>IF(('Synthèse PER'!P69="A faire")*AND('Synthèse PER'!F69="AC MESSANCY"),'Synthèse PER'!J69,0)</f>
        <v>0</v>
      </c>
      <c r="AM69" s="290">
        <f>IF(('Synthèse PER'!P69="A faire")*AND('Synthèse PER'!F69="Tertiaire"),'Synthèse PER'!J69,0)</f>
        <v>0</v>
      </c>
      <c r="AN69" s="288"/>
      <c r="AO69" s="290">
        <f>IF(('Synthèse PER'!P69="A faire")*AND('Synthèse PER'!E69="Territoire"),'Synthèse PER'!H69,0)</f>
        <v>0</v>
      </c>
      <c r="AP69" s="290">
        <f>IF(('Synthèse PER'!P69="A faire")*AND('Synthèse PER'!E69="Agriculture"),'Synthèse PER'!H69,0)</f>
        <v>0</v>
      </c>
      <c r="AQ69" s="290">
        <f>IF(('Synthèse PER'!P69="A faire")*AND('Synthèse PER'!E69="Industrie"),'Synthèse PER'!H69,0)</f>
        <v>0</v>
      </c>
      <c r="AR69" s="290">
        <f>IF(('Synthèse PER'!P69="A faire")*AND('Synthèse PER'!E69="Logement"),'Synthèse PER'!H69,0)</f>
        <v>0</v>
      </c>
      <c r="AS69" s="290">
        <f>IF(('Synthèse PER'!P69="A faire")*AND('Synthèse PER'!E69="Tertiaire"),'Synthèse PER'!H69,0)</f>
        <v>0</v>
      </c>
      <c r="AT69" s="290">
        <f>IF(('Synthèse PER'!P69="A faire")*AND('Synthèse PER'!E69="Transport"),'Synthèse PER'!H69,0)</f>
        <v>30000</v>
      </c>
      <c r="AU69" s="290">
        <f>IF(('Synthèse PER'!P69="A faire")*AND('Synthèse PER'!E69="Communal"),'Synthèse PER'!H69,0)</f>
        <v>0</v>
      </c>
      <c r="AV69" s="288"/>
      <c r="AW69" s="290">
        <f>IF(('Synthèse PER'!P69="A faire")*AND('Synthèse PER'!E69="Territoire"),'Synthèse PER'!J69,0)</f>
        <v>0</v>
      </c>
      <c r="AX69" s="290">
        <f>IF(('Synthèse PER'!P69="A faire")*AND('Synthèse PER'!E69="Agriculture"),'Synthèse PER'!J69,0)</f>
        <v>0</v>
      </c>
      <c r="AY69" s="290">
        <f>IF(('Synthèse PER'!P69="A faire")*AND('Synthèse PER'!E69="Industrie"),'Synthèse PER'!J69,0)</f>
        <v>0</v>
      </c>
      <c r="AZ69" s="290">
        <f>IF(('Synthèse PER'!P69="A faire")*AND('Synthèse PER'!E69="Logement"),'Synthèse PER'!J69,0)</f>
        <v>0</v>
      </c>
      <c r="BA69" s="290">
        <f>IF(('Synthèse PER'!P69="A faire")*AND('Synthèse PER'!E69="Tertiaire"),'Synthèse PER'!J69,0)</f>
        <v>0</v>
      </c>
      <c r="BB69" s="290">
        <f>IF(('Synthèse PER'!P69="A faire")*AND('Synthèse PER'!E69="Transport"),'Synthèse PER'!J69,0)</f>
        <v>0</v>
      </c>
      <c r="BC69" s="290">
        <f>IF(('Synthèse PER'!P69="A faire")*AND('Synthèse PER'!E69="Communal"),'Synthèse PER'!J69,0)</f>
        <v>0</v>
      </c>
      <c r="BD69" s="288"/>
      <c r="BE69" s="290">
        <f>IF(('Synthèse PER'!P69="A faire")*AND('Synthèse PER'!E69="Territoire"),'Synthèse PER'!K69,0)</f>
        <v>0</v>
      </c>
      <c r="BF69" s="290">
        <f>IF(('Synthèse PER'!P69="A faire")*AND('Synthèse PER'!E69="Agriculture"),'Synthèse PER'!K69,0)</f>
        <v>0</v>
      </c>
      <c r="BG69" s="290">
        <f>IF(('Synthèse PER'!P69="A faire")*AND('Synthèse PER'!E69="Industrie"),'Synthèse PER'!K69,0)</f>
        <v>0</v>
      </c>
      <c r="BH69" s="290">
        <f>IF(('Synthèse PER'!P69="A faire")*AND('Synthèse PER'!E69="Logement"),'Synthèse PER'!K69,0)</f>
        <v>0</v>
      </c>
      <c r="BI69" s="290">
        <f>IF(('Synthèse PER'!P69="A faire")*AND('Synthèse PER'!E69="Tertiaire"),'Synthèse PER'!K69,0)</f>
        <v>0</v>
      </c>
      <c r="BJ69" s="290">
        <f>IF(('Synthèse PER'!P69="A faire")*AND('Synthèse PER'!E69="Transport"),'Synthèse PER'!K69,0)</f>
        <v>1610.4326530612245</v>
      </c>
      <c r="BK69" s="290">
        <f>IF(('Synthèse PER'!P69="A faire")*AND('Synthèse PER'!E69="Communal"),'Synthèse PER'!K69,0)</f>
        <v>0</v>
      </c>
      <c r="BL69" s="288"/>
      <c r="BM69" s="290">
        <f>IF(('Synthèse PER'!P69="A faire")*AND('Synthèse PER'!E69="Territoire"),'Synthèse PER'!L69,0)</f>
        <v>0</v>
      </c>
      <c r="BN69" s="290">
        <f>IF(('Synthèse PER'!P69="A faire")*AND('Synthèse PER'!E69="Agriculture"),'Synthèse PER'!L69,0)</f>
        <v>0</v>
      </c>
      <c r="BO69" s="290">
        <f>IF(('Synthèse PER'!P69="A faire")*AND('Synthèse PER'!E69="Industrie"),'Synthèse PER'!L69,0)</f>
        <v>0</v>
      </c>
      <c r="BP69" s="290">
        <f>IF(('Synthèse PER'!P69="A faire")*AND('Synthèse PER'!E69="Logement"),'Synthèse PER'!L69,0)</f>
        <v>0</v>
      </c>
      <c r="BQ69" s="290">
        <f>IF(('Synthèse PER'!P69="A faire")*AND('Synthèse PER'!E69="Tertiaire"),'Synthèse PER'!L69,0)</f>
        <v>0</v>
      </c>
      <c r="BR69" s="290">
        <f>IF(('Synthèse PER'!P69="A faire")*AND('Synthèse PER'!E69="Transport"),'Synthèse PER'!L69,0)</f>
        <v>0</v>
      </c>
      <c r="BS69" s="290">
        <f>IF(('Synthèse PER'!P69="A faire")*AND('Synthèse PER'!E69="Communal"),'Synthèse PER'!L69,0)</f>
        <v>0</v>
      </c>
      <c r="BT69" s="290">
        <f>IF(('Synthèse PER'!Q69="A faire")*AND('Synthèse PER'!F69="Communal"),'Synthèse PER'!M69,0)</f>
        <v>0</v>
      </c>
    </row>
    <row r="70" spans="1:72" s="139" customFormat="1" x14ac:dyDescent="0.25">
      <c r="A70" s="369" t="s">
        <v>809</v>
      </c>
      <c r="B70" s="414" t="str">
        <f>'ADU-53'!B$3:E$3</f>
        <v>Mobilité</v>
      </c>
      <c r="C70" s="419" t="str">
        <f>'ADU-53'!$B$8</f>
        <v>Citoyens</v>
      </c>
      <c r="D70" s="133" t="str">
        <f>'ADU-53'!$B$9</f>
        <v>Voitures électriques</v>
      </c>
      <c r="E70" s="133" t="str">
        <f>'ADU-53'!$B$4</f>
        <v>Transport</v>
      </c>
      <c r="F70" s="133" t="str">
        <f>'ADU-53'!$B$12</f>
        <v>Citoyen</v>
      </c>
      <c r="G70" s="133" t="str">
        <f>'ADU-53'!$B$6</f>
        <v>Prêt bancaire</v>
      </c>
      <c r="H70" s="134">
        <f>'ADU-53'!$B$17</f>
        <v>16000000</v>
      </c>
      <c r="I70" s="133" t="str">
        <f>'ADU-53'!$B$7</f>
        <v>Néant</v>
      </c>
      <c r="J70" s="134">
        <f>'ADU-53'!$B$18</f>
        <v>0</v>
      </c>
      <c r="K70" s="134">
        <f>'ADU-53'!$B$21</f>
        <v>691772.98792169942</v>
      </c>
      <c r="L70" s="134">
        <f>'ADU-53'!$B$22</f>
        <v>0</v>
      </c>
      <c r="M70" s="135">
        <f>'ADU-53'!$B$24</f>
        <v>4.6257949585655149</v>
      </c>
      <c r="N70" s="135">
        <f>'ADU-53'!$B$19/1000</f>
        <v>3641.7306122448981</v>
      </c>
      <c r="O70" s="136">
        <f>IF(H70=0,0,N70/(H70-J70)*1000)</f>
        <v>0.22760816326530614</v>
      </c>
      <c r="P70" s="137" t="str">
        <f>'ADU-53'!$B$5</f>
        <v>A faire</v>
      </c>
      <c r="Q70" s="140">
        <f>'ADU-53'!$B$16</f>
        <v>2030</v>
      </c>
      <c r="R70" s="283" t="str">
        <f t="shared" si="47"/>
        <v/>
      </c>
      <c r="S70" s="138">
        <f t="shared" si="9"/>
        <v>0</v>
      </c>
      <c r="T70" s="138">
        <f t="shared" si="10"/>
        <v>0</v>
      </c>
      <c r="U70" s="138">
        <f t="shared" si="11"/>
        <v>0</v>
      </c>
      <c r="V70" s="138">
        <f t="shared" si="12"/>
        <v>0</v>
      </c>
      <c r="W70" s="138">
        <f t="shared" si="13"/>
        <v>0</v>
      </c>
      <c r="X70" s="138">
        <f t="shared" si="14"/>
        <v>0</v>
      </c>
      <c r="Y70" s="138">
        <f t="shared" si="15"/>
        <v>0</v>
      </c>
      <c r="AA70" s="287">
        <f>IF(('Synthèse PER'!P70="A faire")*AND('Synthèse PER'!F70="Agriculture"),'Synthèse PER'!H70,0)</f>
        <v>0</v>
      </c>
      <c r="AB70" s="287">
        <f>IF(('Synthèse PER'!P70="A faire")*AND('Synthèse PER'!F70="Industrie"),'Synthèse PER'!H70,0)</f>
        <v>0</v>
      </c>
      <c r="AC70" s="287">
        <f>IF(('Synthèse PER'!P70="A faire")*AND('Synthèse PER'!F70="Citoyen"),'Synthèse PER'!H70,0)</f>
        <v>16000000</v>
      </c>
      <c r="AD70" s="287">
        <f>IF(('Synthèse PER'!P70="A faire")*AND('Synthèse PER'!F70="IDELUX"),'Synthèse PER'!H70,0)</f>
        <v>0</v>
      </c>
      <c r="AE70" s="290">
        <f>IF(('Synthèse PER'!P70="A faire")*AND('Synthèse PER'!F70="AC MESSANCY"),'Synthèse PER'!H70,0)</f>
        <v>0</v>
      </c>
      <c r="AF70" s="287">
        <f>IF(('Synthèse PER'!P70="A faire")*AND('Synthèse PER'!F70="Tertiaire"),'Synthèse PER'!H70,0)</f>
        <v>0</v>
      </c>
      <c r="AG70" s="288"/>
      <c r="AH70" s="290">
        <f>IF(('Synthèse PER'!P70="A faire")*AND('Synthèse PER'!F70="Agriculture"),'Synthèse PER'!J70,0)</f>
        <v>0</v>
      </c>
      <c r="AI70" s="290">
        <f>IF(('Synthèse PER'!P70="A faire")*AND('Synthèse PER'!F70="Industrie"),'Synthèse PER'!J70,0)</f>
        <v>0</v>
      </c>
      <c r="AJ70" s="290">
        <f>IF(('Synthèse PER'!P70="A faire")*AND('Synthèse PER'!F70="Citoyen"),'Synthèse PER'!J70,0)</f>
        <v>0</v>
      </c>
      <c r="AK70" s="290">
        <f>IF(('Synthèse PER'!P70="A faire")*AND('Synthèse PER'!F70="IDELUX"),'Synthèse PER'!J70,0)</f>
        <v>0</v>
      </c>
      <c r="AL70" s="290">
        <f>IF(('Synthèse PER'!P70="A faire")*AND('Synthèse PER'!F70="AC MESSANCY"),'Synthèse PER'!J70,0)</f>
        <v>0</v>
      </c>
      <c r="AM70" s="290">
        <f>IF(('Synthèse PER'!P70="A faire")*AND('Synthèse PER'!F70="Tertiaire"),'Synthèse PER'!J70,0)</f>
        <v>0</v>
      </c>
      <c r="AN70" s="288"/>
      <c r="AO70" s="290">
        <f>IF(('Synthèse PER'!P70="A faire")*AND('Synthèse PER'!E70="Territoire"),'Synthèse PER'!H70,0)</f>
        <v>0</v>
      </c>
      <c r="AP70" s="290">
        <f>IF(('Synthèse PER'!P70="A faire")*AND('Synthèse PER'!E70="Agriculture"),'Synthèse PER'!H70,0)</f>
        <v>0</v>
      </c>
      <c r="AQ70" s="290">
        <f>IF(('Synthèse PER'!P70="A faire")*AND('Synthèse PER'!E70="Industrie"),'Synthèse PER'!H70,0)</f>
        <v>0</v>
      </c>
      <c r="AR70" s="290">
        <f>IF(('Synthèse PER'!P70="A faire")*AND('Synthèse PER'!E70="Logement"),'Synthèse PER'!H70,0)</f>
        <v>0</v>
      </c>
      <c r="AS70" s="290">
        <f>IF(('Synthèse PER'!P70="A faire")*AND('Synthèse PER'!E70="Tertiaire"),'Synthèse PER'!H70,0)</f>
        <v>0</v>
      </c>
      <c r="AT70" s="290">
        <f>IF(('Synthèse PER'!P70="A faire")*AND('Synthèse PER'!E70="Transport"),'Synthèse PER'!H70,0)</f>
        <v>16000000</v>
      </c>
      <c r="AU70" s="290">
        <f>IF(('Synthèse PER'!P70="A faire")*AND('Synthèse PER'!E70="Communal"),'Synthèse PER'!H70,0)</f>
        <v>0</v>
      </c>
      <c r="AV70" s="288"/>
      <c r="AW70" s="290">
        <f>IF(('Synthèse PER'!P70="A faire")*AND('Synthèse PER'!E70="Territoire"),'Synthèse PER'!J70,0)</f>
        <v>0</v>
      </c>
      <c r="AX70" s="290">
        <f>IF(('Synthèse PER'!P70="A faire")*AND('Synthèse PER'!E70="Agriculture"),'Synthèse PER'!J70,0)</f>
        <v>0</v>
      </c>
      <c r="AY70" s="290">
        <f>IF(('Synthèse PER'!P70="A faire")*AND('Synthèse PER'!E70="Industrie"),'Synthèse PER'!J70,0)</f>
        <v>0</v>
      </c>
      <c r="AZ70" s="290">
        <f>IF(('Synthèse PER'!P70="A faire")*AND('Synthèse PER'!E70="Logement"),'Synthèse PER'!J70,0)</f>
        <v>0</v>
      </c>
      <c r="BA70" s="290">
        <f>IF(('Synthèse PER'!P70="A faire")*AND('Synthèse PER'!E70="Tertiaire"),'Synthèse PER'!J70,0)</f>
        <v>0</v>
      </c>
      <c r="BB70" s="290">
        <f>IF(('Synthèse PER'!P70="A faire")*AND('Synthèse PER'!E70="Transport"),'Synthèse PER'!J70,0)</f>
        <v>0</v>
      </c>
      <c r="BC70" s="290">
        <f>IF(('Synthèse PER'!P70="A faire")*AND('Synthèse PER'!E70="Communal"),'Synthèse PER'!J70,0)</f>
        <v>0</v>
      </c>
      <c r="BD70" s="288"/>
      <c r="BE70" s="290">
        <f>IF(('Synthèse PER'!P70="A faire")*AND('Synthèse PER'!E70="Territoire"),'Synthèse PER'!K70,0)</f>
        <v>0</v>
      </c>
      <c r="BF70" s="290">
        <f>IF(('Synthèse PER'!P70="A faire")*AND('Synthèse PER'!E70="Agriculture"),'Synthèse PER'!K70,0)</f>
        <v>0</v>
      </c>
      <c r="BG70" s="290">
        <f>IF(('Synthèse PER'!P70="A faire")*AND('Synthèse PER'!E70="Industrie"),'Synthèse PER'!K70,0)</f>
        <v>0</v>
      </c>
      <c r="BH70" s="290">
        <f>IF(('Synthèse PER'!P70="A faire")*AND('Synthèse PER'!E70="Logement"),'Synthèse PER'!K70,0)</f>
        <v>0</v>
      </c>
      <c r="BI70" s="290">
        <f>IF(('Synthèse PER'!P70="A faire")*AND('Synthèse PER'!E70="Tertiaire"),'Synthèse PER'!K70,0)</f>
        <v>0</v>
      </c>
      <c r="BJ70" s="290">
        <f>IF(('Synthèse PER'!P70="A faire")*AND('Synthèse PER'!E70="Transport"),'Synthèse PER'!K70,0)</f>
        <v>691772.98792169942</v>
      </c>
      <c r="BK70" s="290">
        <f>IF(('Synthèse PER'!P70="A faire")*AND('Synthèse PER'!E70="Communal"),'Synthèse PER'!K70,0)</f>
        <v>0</v>
      </c>
      <c r="BL70" s="288"/>
      <c r="BM70" s="290">
        <f>IF(('Synthèse PER'!P70="A faire")*AND('Synthèse PER'!E70="Territoire"),'Synthèse PER'!L70,0)</f>
        <v>0</v>
      </c>
      <c r="BN70" s="290">
        <f>IF(('Synthèse PER'!P70="A faire")*AND('Synthèse PER'!E70="Agriculture"),'Synthèse PER'!L70,0)</f>
        <v>0</v>
      </c>
      <c r="BO70" s="290">
        <f>IF(('Synthèse PER'!P70="A faire")*AND('Synthèse PER'!E70="Industrie"),'Synthèse PER'!L70,0)</f>
        <v>0</v>
      </c>
      <c r="BP70" s="290">
        <f>IF(('Synthèse PER'!P70="A faire")*AND('Synthèse PER'!E70="Logement"),'Synthèse PER'!L70,0)</f>
        <v>0</v>
      </c>
      <c r="BQ70" s="290">
        <f>IF(('Synthèse PER'!P70="A faire")*AND('Synthèse PER'!E70="Tertiaire"),'Synthèse PER'!L70,0)</f>
        <v>0</v>
      </c>
      <c r="BR70" s="290">
        <f>IF(('Synthèse PER'!P70="A faire")*AND('Synthèse PER'!E70="Transport"),'Synthèse PER'!L70,0)</f>
        <v>0</v>
      </c>
      <c r="BS70" s="290">
        <f>IF(('Synthèse PER'!P70="A faire")*AND('Synthèse PER'!E70="Communal"),'Synthèse PER'!L70,0)</f>
        <v>0</v>
      </c>
      <c r="BT70" s="290">
        <f>IF(('Synthèse PER'!Q70="A faire")*AND('Synthèse PER'!F70="Communal"),'Synthèse PER'!M70,0)</f>
        <v>0</v>
      </c>
    </row>
    <row r="71" spans="1:72" s="139" customFormat="1" x14ac:dyDescent="0.25">
      <c r="A71" s="369" t="s">
        <v>808</v>
      </c>
      <c r="B71" s="414" t="str">
        <f>'ADU-54'!B$3:E$3</f>
        <v>Mobilité</v>
      </c>
      <c r="C71" s="419" t="str">
        <f>'ADU-54'!$B$8</f>
        <v>Véhicules propres</v>
      </c>
      <c r="D71" s="133" t="str">
        <f>'ADU-54'!$B$9</f>
        <v>Voitures hybrides</v>
      </c>
      <c r="E71" s="133" t="str">
        <f>'ADU-54'!$B$4</f>
        <v>Transport</v>
      </c>
      <c r="F71" s="133" t="str">
        <f>'ADU-54'!$B$12</f>
        <v>Citoyen</v>
      </c>
      <c r="G71" s="133" t="str">
        <f>'ADU-54'!$B$6</f>
        <v>Fonds propres</v>
      </c>
      <c r="H71" s="134">
        <f>'ADU-54'!$B$17</f>
        <v>624353.30356851581</v>
      </c>
      <c r="I71" s="133" t="str">
        <f>'ADU-54'!$B$7</f>
        <v>Néant</v>
      </c>
      <c r="J71" s="134">
        <f>'ADU-54'!$B$18</f>
        <v>0</v>
      </c>
      <c r="K71" s="134">
        <f>'ADU-54'!$B$21</f>
        <v>31977.917968637263</v>
      </c>
      <c r="L71" s="134">
        <f>'ADU-54'!$B$22</f>
        <v>0</v>
      </c>
      <c r="M71" s="135">
        <f>'ADU-54'!$B$24</f>
        <v>2.1693904322798221</v>
      </c>
      <c r="N71" s="135">
        <f>'ADU-54'!$B$19/1000</f>
        <v>64.145930989587768</v>
      </c>
      <c r="O71" s="136">
        <f>IF(H71=0,0,N71/(H71-J71)*1000)</f>
        <v>0.10273979591836734</v>
      </c>
      <c r="P71" s="137" t="str">
        <f>'ADU-54'!$B$5</f>
        <v>Terminé</v>
      </c>
      <c r="Q71" s="140">
        <f>'ADU-54'!$B$16</f>
        <v>2018</v>
      </c>
      <c r="R71" s="283">
        <f>IF(P71="terminé", N71,"")</f>
        <v>64.145930989587768</v>
      </c>
      <c r="S71" s="138">
        <f t="shared" si="9"/>
        <v>0</v>
      </c>
      <c r="T71" s="138">
        <f t="shared" si="10"/>
        <v>0</v>
      </c>
      <c r="U71" s="138">
        <f t="shared" si="11"/>
        <v>0</v>
      </c>
      <c r="V71" s="138">
        <f t="shared" si="12"/>
        <v>0</v>
      </c>
      <c r="W71" s="138">
        <f t="shared" si="13"/>
        <v>0</v>
      </c>
      <c r="X71" s="138">
        <f t="shared" si="14"/>
        <v>64.145930989587768</v>
      </c>
      <c r="Y71" s="138">
        <f t="shared" si="15"/>
        <v>0</v>
      </c>
      <c r="AA71" s="287">
        <f>IF(('Synthèse PER'!P71="A faire")*AND('Synthèse PER'!F71="Agriculture"),'Synthèse PER'!H71,0)</f>
        <v>0</v>
      </c>
      <c r="AB71" s="287">
        <f>IF(('Synthèse PER'!P71="A faire")*AND('Synthèse PER'!F71="Industrie"),'Synthèse PER'!H71,0)</f>
        <v>0</v>
      </c>
      <c r="AC71" s="287">
        <f>IF(('Synthèse PER'!P71="A faire")*AND('Synthèse PER'!F71="Citoyen"),'Synthèse PER'!H71,0)</f>
        <v>0</v>
      </c>
      <c r="AD71" s="287">
        <f>IF(('Synthèse PER'!P71="A faire")*AND('Synthèse PER'!F71="IDELUX"),'Synthèse PER'!H71,0)</f>
        <v>0</v>
      </c>
      <c r="AE71" s="290">
        <f>IF(('Synthèse PER'!P71="A faire")*AND('Synthèse PER'!F71="AC MESSANCY"),'Synthèse PER'!H71,0)</f>
        <v>0</v>
      </c>
      <c r="AF71" s="287">
        <f>IF(('Synthèse PER'!P71="A faire")*AND('Synthèse PER'!F71="Tertiaire"),'Synthèse PER'!H71,0)</f>
        <v>0</v>
      </c>
      <c r="AG71" s="288"/>
      <c r="AH71" s="290">
        <f>IF(('Synthèse PER'!P71="A faire")*AND('Synthèse PER'!F71="Agriculture"),'Synthèse PER'!J71,0)</f>
        <v>0</v>
      </c>
      <c r="AI71" s="290">
        <f>IF(('Synthèse PER'!P71="A faire")*AND('Synthèse PER'!F71="Industrie"),'Synthèse PER'!J71,0)</f>
        <v>0</v>
      </c>
      <c r="AJ71" s="290">
        <f>IF(('Synthèse PER'!P71="A faire")*AND('Synthèse PER'!F71="Citoyen"),'Synthèse PER'!J71,0)</f>
        <v>0</v>
      </c>
      <c r="AK71" s="290">
        <f>IF(('Synthèse PER'!P71="A faire")*AND('Synthèse PER'!F71="IDELUX"),'Synthèse PER'!J71,0)</f>
        <v>0</v>
      </c>
      <c r="AL71" s="290">
        <f>IF(('Synthèse PER'!P71="A faire")*AND('Synthèse PER'!F71="AC MESSANCY"),'Synthèse PER'!J71,0)</f>
        <v>0</v>
      </c>
      <c r="AM71" s="290">
        <f>IF(('Synthèse PER'!P71="A faire")*AND('Synthèse PER'!F71="Tertiaire"),'Synthèse PER'!J71,0)</f>
        <v>0</v>
      </c>
      <c r="AN71" s="288"/>
      <c r="AO71" s="290">
        <f>IF(('Synthèse PER'!P71="A faire")*AND('Synthèse PER'!E71="Territoire"),'Synthèse PER'!H71,0)</f>
        <v>0</v>
      </c>
      <c r="AP71" s="290">
        <f>IF(('Synthèse PER'!P71="A faire")*AND('Synthèse PER'!E71="Agriculture"),'Synthèse PER'!H71,0)</f>
        <v>0</v>
      </c>
      <c r="AQ71" s="290">
        <f>IF(('Synthèse PER'!P71="A faire")*AND('Synthèse PER'!E71="Industrie"),'Synthèse PER'!H71,0)</f>
        <v>0</v>
      </c>
      <c r="AR71" s="290">
        <f>IF(('Synthèse PER'!P71="A faire")*AND('Synthèse PER'!E71="Logement"),'Synthèse PER'!H71,0)</f>
        <v>0</v>
      </c>
      <c r="AS71" s="290">
        <f>IF(('Synthèse PER'!P71="A faire")*AND('Synthèse PER'!E71="Tertiaire"),'Synthèse PER'!H71,0)</f>
        <v>0</v>
      </c>
      <c r="AT71" s="290">
        <f>IF(('Synthèse PER'!P71="A faire")*AND('Synthèse PER'!E71="Transport"),'Synthèse PER'!H71,0)</f>
        <v>0</v>
      </c>
      <c r="AU71" s="290">
        <f>IF(('Synthèse PER'!P71="A faire")*AND('Synthèse PER'!E71="Communal"),'Synthèse PER'!H71,0)</f>
        <v>0</v>
      </c>
      <c r="AV71" s="288"/>
      <c r="AW71" s="290">
        <f>IF(('Synthèse PER'!P71="A faire")*AND('Synthèse PER'!E71="Territoire"),'Synthèse PER'!J71,0)</f>
        <v>0</v>
      </c>
      <c r="AX71" s="290">
        <f>IF(('Synthèse PER'!P71="A faire")*AND('Synthèse PER'!E71="Agriculture"),'Synthèse PER'!J71,0)</f>
        <v>0</v>
      </c>
      <c r="AY71" s="290">
        <f>IF(('Synthèse PER'!P71="A faire")*AND('Synthèse PER'!E71="Industrie"),'Synthèse PER'!J71,0)</f>
        <v>0</v>
      </c>
      <c r="AZ71" s="290">
        <f>IF(('Synthèse PER'!P71="A faire")*AND('Synthèse PER'!E71="Logement"),'Synthèse PER'!J71,0)</f>
        <v>0</v>
      </c>
      <c r="BA71" s="290">
        <f>IF(('Synthèse PER'!P71="A faire")*AND('Synthèse PER'!E71="Tertiaire"),'Synthèse PER'!J71,0)</f>
        <v>0</v>
      </c>
      <c r="BB71" s="290">
        <f>IF(('Synthèse PER'!P71="A faire")*AND('Synthèse PER'!E71="Transport"),'Synthèse PER'!J71,0)</f>
        <v>0</v>
      </c>
      <c r="BC71" s="290">
        <f>IF(('Synthèse PER'!P71="A faire")*AND('Synthèse PER'!E71="Communal"),'Synthèse PER'!J71,0)</f>
        <v>0</v>
      </c>
      <c r="BD71" s="288"/>
      <c r="BE71" s="290">
        <f>IF(('Synthèse PER'!P71="A faire")*AND('Synthèse PER'!E71="Territoire"),'Synthèse PER'!K71,0)</f>
        <v>0</v>
      </c>
      <c r="BF71" s="290">
        <f>IF(('Synthèse PER'!P71="A faire")*AND('Synthèse PER'!E71="Agriculture"),'Synthèse PER'!K71,0)</f>
        <v>0</v>
      </c>
      <c r="BG71" s="290">
        <f>IF(('Synthèse PER'!P71="A faire")*AND('Synthèse PER'!E71="Industrie"),'Synthèse PER'!K71,0)</f>
        <v>0</v>
      </c>
      <c r="BH71" s="290">
        <f>IF(('Synthèse PER'!P71="A faire")*AND('Synthèse PER'!E71="Logement"),'Synthèse PER'!K71,0)</f>
        <v>0</v>
      </c>
      <c r="BI71" s="290">
        <f>IF(('Synthèse PER'!P71="A faire")*AND('Synthèse PER'!E71="Tertiaire"),'Synthèse PER'!K71,0)</f>
        <v>0</v>
      </c>
      <c r="BJ71" s="290">
        <f>IF(('Synthèse PER'!P71="A faire")*AND('Synthèse PER'!E71="Transport"),'Synthèse PER'!K71,0)</f>
        <v>0</v>
      </c>
      <c r="BK71" s="290">
        <f>IF(('Synthèse PER'!P71="A faire")*AND('Synthèse PER'!E71="Communal"),'Synthèse PER'!K71,0)</f>
        <v>0</v>
      </c>
      <c r="BL71" s="288"/>
      <c r="BM71" s="290">
        <f>IF(('Synthèse PER'!P71="A faire")*AND('Synthèse PER'!E71="Territoire"),'Synthèse PER'!L71,0)</f>
        <v>0</v>
      </c>
      <c r="BN71" s="290">
        <f>IF(('Synthèse PER'!P71="A faire")*AND('Synthèse PER'!E71="Agriculture"),'Synthèse PER'!L71,0)</f>
        <v>0</v>
      </c>
      <c r="BO71" s="290">
        <f>IF(('Synthèse PER'!P71="A faire")*AND('Synthèse PER'!E71="Industrie"),'Synthèse PER'!L71,0)</f>
        <v>0</v>
      </c>
      <c r="BP71" s="290">
        <f>IF(('Synthèse PER'!P71="A faire")*AND('Synthèse PER'!E71="Logement"),'Synthèse PER'!L71,0)</f>
        <v>0</v>
      </c>
      <c r="BQ71" s="290">
        <f>IF(('Synthèse PER'!P71="A faire")*AND('Synthèse PER'!E71="Tertiaire"),'Synthèse PER'!L71,0)</f>
        <v>0</v>
      </c>
      <c r="BR71" s="290">
        <f>IF(('Synthèse PER'!P71="A faire")*AND('Synthèse PER'!E71="Transport"),'Synthèse PER'!L71,0)</f>
        <v>0</v>
      </c>
      <c r="BS71" s="290">
        <f>IF(('Synthèse PER'!P71="A faire")*AND('Synthèse PER'!E71="Communal"),'Synthèse PER'!L71,0)</f>
        <v>0</v>
      </c>
      <c r="BT71" s="290">
        <f>IF(('Synthèse PER'!Q71="A faire")*AND('Synthèse PER'!F71="Communal"),'Synthèse PER'!M71,0)</f>
        <v>0</v>
      </c>
    </row>
    <row r="72" spans="1:72" s="139" customFormat="1" x14ac:dyDescent="0.25">
      <c r="A72" s="369" t="s">
        <v>807</v>
      </c>
      <c r="B72" s="414" t="str">
        <f>'ADU-55'!B$3:E$3</f>
        <v>Mobilité</v>
      </c>
      <c r="C72" s="419" t="str">
        <f>'ADU-55'!$B$8</f>
        <v>Mobilité douce</v>
      </c>
      <c r="D72" s="133" t="str">
        <f>'ADU-55'!$B$9</f>
        <v>Vélos à assistance électrique</v>
      </c>
      <c r="E72" s="133" t="str">
        <f>'ADU-55'!$B$4</f>
        <v>Transport</v>
      </c>
      <c r="F72" s="133" t="str">
        <f>'ADU-55'!$B$12</f>
        <v>Citoyen</v>
      </c>
      <c r="G72" s="133" t="str">
        <f>'ADU-55'!$B$6</f>
        <v>Fonds propres</v>
      </c>
      <c r="H72" s="134">
        <f>'ADU-55'!$B$17</f>
        <v>320000</v>
      </c>
      <c r="I72" s="133" t="str">
        <f>'ADU-55'!$B$7</f>
        <v>Néant</v>
      </c>
      <c r="J72" s="134">
        <f>'ADU-55'!$B$18</f>
        <v>0</v>
      </c>
      <c r="K72" s="134">
        <f>'ADU-55'!$B$21</f>
        <v>28800</v>
      </c>
      <c r="L72" s="134">
        <f>'ADU-55'!$B$22</f>
        <v>0</v>
      </c>
      <c r="M72" s="135">
        <f>'ADU-55'!$B$24</f>
        <v>11.111111111111111</v>
      </c>
      <c r="N72" s="135">
        <f>'ADU-55'!$B$19/1000</f>
        <v>180</v>
      </c>
      <c r="O72" s="136">
        <f>IF(H72=0,0,N72/(H72-J72)*1000)</f>
        <v>0.5625</v>
      </c>
      <c r="P72" s="137" t="str">
        <f>'ADU-55'!$B$5</f>
        <v>A faire</v>
      </c>
      <c r="Q72" s="140">
        <f>'ADU-55'!$B$16</f>
        <v>2030</v>
      </c>
      <c r="R72" s="283" t="str">
        <f>IF(P72="terminé", N72,"")</f>
        <v/>
      </c>
      <c r="S72" s="138">
        <f t="shared" si="9"/>
        <v>0</v>
      </c>
      <c r="T72" s="138">
        <f t="shared" si="10"/>
        <v>0</v>
      </c>
      <c r="U72" s="138">
        <f t="shared" si="11"/>
        <v>0</v>
      </c>
      <c r="V72" s="138">
        <f t="shared" si="12"/>
        <v>0</v>
      </c>
      <c r="W72" s="138">
        <f t="shared" si="13"/>
        <v>0</v>
      </c>
      <c r="X72" s="138">
        <f t="shared" si="14"/>
        <v>0</v>
      </c>
      <c r="Y72" s="138">
        <f t="shared" si="15"/>
        <v>0</v>
      </c>
      <c r="AA72" s="287">
        <f>IF(('Synthèse PER'!P72="A faire")*AND('Synthèse PER'!F72="Agriculture"),'Synthèse PER'!H72,0)</f>
        <v>0</v>
      </c>
      <c r="AB72" s="287">
        <f>IF(('Synthèse PER'!P72="A faire")*AND('Synthèse PER'!F72="Industrie"),'Synthèse PER'!H72,0)</f>
        <v>0</v>
      </c>
      <c r="AC72" s="287">
        <f>IF(('Synthèse PER'!P72="A faire")*AND('Synthèse PER'!F72="Citoyen"),'Synthèse PER'!H72,0)</f>
        <v>320000</v>
      </c>
      <c r="AD72" s="287">
        <f>IF(('Synthèse PER'!P72="A faire")*AND('Synthèse PER'!F72="IDELUX"),'Synthèse PER'!H72,0)</f>
        <v>0</v>
      </c>
      <c r="AE72" s="290">
        <f>IF(('Synthèse PER'!P72="A faire")*AND('Synthèse PER'!F72="AC MESSANCY"),'Synthèse PER'!H72,0)</f>
        <v>0</v>
      </c>
      <c r="AF72" s="287">
        <f>IF(('Synthèse PER'!P72="A faire")*AND('Synthèse PER'!F72="Tertiaire"),'Synthèse PER'!H72,0)</f>
        <v>0</v>
      </c>
      <c r="AG72" s="288"/>
      <c r="AH72" s="290">
        <f>IF(('Synthèse PER'!P72="A faire")*AND('Synthèse PER'!F72="Agriculture"),'Synthèse PER'!J72,0)</f>
        <v>0</v>
      </c>
      <c r="AI72" s="290">
        <f>IF(('Synthèse PER'!P72="A faire")*AND('Synthèse PER'!F72="Industrie"),'Synthèse PER'!J72,0)</f>
        <v>0</v>
      </c>
      <c r="AJ72" s="290">
        <f>IF(('Synthèse PER'!P72="A faire")*AND('Synthèse PER'!F72="Citoyen"),'Synthèse PER'!J72,0)</f>
        <v>0</v>
      </c>
      <c r="AK72" s="290">
        <f>IF(('Synthèse PER'!P72="A faire")*AND('Synthèse PER'!F72="IDELUX"),'Synthèse PER'!J72,0)</f>
        <v>0</v>
      </c>
      <c r="AL72" s="290">
        <f>IF(('Synthèse PER'!P72="A faire")*AND('Synthèse PER'!F72="AC MESSANCY"),'Synthèse PER'!J72,0)</f>
        <v>0</v>
      </c>
      <c r="AM72" s="290">
        <f>IF(('Synthèse PER'!P72="A faire")*AND('Synthèse PER'!F72="Tertiaire"),'Synthèse PER'!J72,0)</f>
        <v>0</v>
      </c>
      <c r="AN72" s="288"/>
      <c r="AO72" s="290">
        <f>IF(('Synthèse PER'!P72="A faire")*AND('Synthèse PER'!E72="Territoire"),'Synthèse PER'!H72,0)</f>
        <v>0</v>
      </c>
      <c r="AP72" s="290">
        <f>IF(('Synthèse PER'!P72="A faire")*AND('Synthèse PER'!E72="Agriculture"),'Synthèse PER'!H72,0)</f>
        <v>0</v>
      </c>
      <c r="AQ72" s="290">
        <f>IF(('Synthèse PER'!P72="A faire")*AND('Synthèse PER'!E72="Industrie"),'Synthèse PER'!H72,0)</f>
        <v>0</v>
      </c>
      <c r="AR72" s="290">
        <f>IF(('Synthèse PER'!P72="A faire")*AND('Synthèse PER'!E72="Logement"),'Synthèse PER'!H72,0)</f>
        <v>0</v>
      </c>
      <c r="AS72" s="290">
        <f>IF(('Synthèse PER'!P72="A faire")*AND('Synthèse PER'!E72="Tertiaire"),'Synthèse PER'!H72,0)</f>
        <v>0</v>
      </c>
      <c r="AT72" s="290">
        <f>IF(('Synthèse PER'!P72="A faire")*AND('Synthèse PER'!E72="Transport"),'Synthèse PER'!H72,0)</f>
        <v>320000</v>
      </c>
      <c r="AU72" s="290">
        <f>IF(('Synthèse PER'!P72="A faire")*AND('Synthèse PER'!E72="Communal"),'Synthèse PER'!H72,0)</f>
        <v>0</v>
      </c>
      <c r="AV72" s="288"/>
      <c r="AW72" s="290">
        <f>IF(('Synthèse PER'!P72="A faire")*AND('Synthèse PER'!E72="Territoire"),'Synthèse PER'!J72,0)</f>
        <v>0</v>
      </c>
      <c r="AX72" s="290">
        <f>IF(('Synthèse PER'!P72="A faire")*AND('Synthèse PER'!E72="Agriculture"),'Synthèse PER'!J72,0)</f>
        <v>0</v>
      </c>
      <c r="AY72" s="290">
        <f>IF(('Synthèse PER'!P72="A faire")*AND('Synthèse PER'!E72="Industrie"),'Synthèse PER'!J72,0)</f>
        <v>0</v>
      </c>
      <c r="AZ72" s="290">
        <f>IF(('Synthèse PER'!P72="A faire")*AND('Synthèse PER'!E72="Logement"),'Synthèse PER'!J72,0)</f>
        <v>0</v>
      </c>
      <c r="BA72" s="290">
        <f>IF(('Synthèse PER'!P72="A faire")*AND('Synthèse PER'!E72="Tertiaire"),'Synthèse PER'!J72,0)</f>
        <v>0</v>
      </c>
      <c r="BB72" s="290">
        <f>IF(('Synthèse PER'!P72="A faire")*AND('Synthèse PER'!E72="Transport"),'Synthèse PER'!J72,0)</f>
        <v>0</v>
      </c>
      <c r="BC72" s="290">
        <f>IF(('Synthèse PER'!P72="A faire")*AND('Synthèse PER'!E72="Communal"),'Synthèse PER'!J72,0)</f>
        <v>0</v>
      </c>
      <c r="BD72" s="288"/>
      <c r="BE72" s="290">
        <f>IF(('Synthèse PER'!P72="A faire")*AND('Synthèse PER'!E72="Territoire"),'Synthèse PER'!K72,0)</f>
        <v>0</v>
      </c>
      <c r="BF72" s="290">
        <f>IF(('Synthèse PER'!P72="A faire")*AND('Synthèse PER'!E72="Agriculture"),'Synthèse PER'!K72,0)</f>
        <v>0</v>
      </c>
      <c r="BG72" s="290">
        <f>IF(('Synthèse PER'!P72="A faire")*AND('Synthèse PER'!E72="Industrie"),'Synthèse PER'!K72,0)</f>
        <v>0</v>
      </c>
      <c r="BH72" s="290">
        <f>IF(('Synthèse PER'!P72="A faire")*AND('Synthèse PER'!E72="Logement"),'Synthèse PER'!K72,0)</f>
        <v>0</v>
      </c>
      <c r="BI72" s="290">
        <f>IF(('Synthèse PER'!P72="A faire")*AND('Synthèse PER'!E72="Tertiaire"),'Synthèse PER'!K72,0)</f>
        <v>0</v>
      </c>
      <c r="BJ72" s="290">
        <f>IF(('Synthèse PER'!P72="A faire")*AND('Synthèse PER'!E72="Transport"),'Synthèse PER'!K72,0)</f>
        <v>28800</v>
      </c>
      <c r="BK72" s="290">
        <f>IF(('Synthèse PER'!P72="A faire")*AND('Synthèse PER'!E72="Communal"),'Synthèse PER'!K72,0)</f>
        <v>0</v>
      </c>
      <c r="BL72" s="288"/>
      <c r="BM72" s="290">
        <f>IF(('Synthèse PER'!P72="A faire")*AND('Synthèse PER'!E72="Territoire"),'Synthèse PER'!L72,0)</f>
        <v>0</v>
      </c>
      <c r="BN72" s="290">
        <f>IF(('Synthèse PER'!P72="A faire")*AND('Synthèse PER'!E72="Agriculture"),'Synthèse PER'!L72,0)</f>
        <v>0</v>
      </c>
      <c r="BO72" s="290">
        <f>IF(('Synthèse PER'!P72="A faire")*AND('Synthèse PER'!E72="Industrie"),'Synthèse PER'!L72,0)</f>
        <v>0</v>
      </c>
      <c r="BP72" s="290">
        <f>IF(('Synthèse PER'!P72="A faire")*AND('Synthèse PER'!E72="Logement"),'Synthèse PER'!L72,0)</f>
        <v>0</v>
      </c>
      <c r="BQ72" s="290">
        <f>IF(('Synthèse PER'!P72="A faire")*AND('Synthèse PER'!E72="Tertiaire"),'Synthèse PER'!L72,0)</f>
        <v>0</v>
      </c>
      <c r="BR72" s="290">
        <f>IF(('Synthèse PER'!P72="A faire")*AND('Synthèse PER'!E72="Transport"),'Synthèse PER'!L72,0)</f>
        <v>0</v>
      </c>
      <c r="BS72" s="290">
        <f>IF(('Synthèse PER'!P72="A faire")*AND('Synthèse PER'!E72="Communal"),'Synthèse PER'!L72,0)</f>
        <v>0</v>
      </c>
      <c r="BT72" s="290">
        <f>IF(('Synthèse PER'!Q72="A faire")*AND('Synthèse PER'!F72="Communal"),'Synthèse PER'!M72,0)</f>
        <v>0</v>
      </c>
    </row>
    <row r="73" spans="1:72" s="139" customFormat="1" x14ac:dyDescent="0.25">
      <c r="A73" s="369" t="s">
        <v>806</v>
      </c>
      <c r="B73" s="414" t="str">
        <f>'ADU-56'!B$3:E$3</f>
        <v>Mobilité</v>
      </c>
      <c r="C73" s="419" t="str">
        <f>'ADU-56'!$B$8</f>
        <v>Transport</v>
      </c>
      <c r="D73" s="133" t="str">
        <f>'ADU-56'!$B$9</f>
        <v>Borne de recharge</v>
      </c>
      <c r="E73" s="133" t="str">
        <f>'ADU-56'!$B$4</f>
        <v>Transport</v>
      </c>
      <c r="F73" s="133" t="str">
        <f>'ADU-56'!$B$12</f>
        <v>AC MESSANCY</v>
      </c>
      <c r="G73" s="133" t="str">
        <f>'ADU-56'!$B$6</f>
        <v>1/3 invest</v>
      </c>
      <c r="H73" s="134">
        <f>'ADU-56'!$B$17</f>
        <v>20000</v>
      </c>
      <c r="I73" s="133" t="str">
        <f>'ADU-56'!$B$7</f>
        <v>Néant</v>
      </c>
      <c r="J73" s="134">
        <f>'ADU-56'!$B$18</f>
        <v>0</v>
      </c>
      <c r="K73" s="134">
        <f>'ADU-56'!$B$21</f>
        <v>1</v>
      </c>
      <c r="L73" s="134">
        <f>'ADU-56'!$B$22</f>
        <v>0</v>
      </c>
      <c r="M73" s="135">
        <f>'ADU-56'!$B$24</f>
        <v>90000</v>
      </c>
      <c r="N73" s="135">
        <f>'ADU-56'!$B$19/1000</f>
        <v>0</v>
      </c>
      <c r="O73" s="136">
        <f>IF(H73=0,0,N73/(H73-J73)*1000)</f>
        <v>0</v>
      </c>
      <c r="P73" s="137" t="str">
        <f>'ADU-56'!$B$5</f>
        <v>A faire</v>
      </c>
      <c r="Q73" s="140">
        <f>'ADU-56'!$B$16</f>
        <v>2030</v>
      </c>
      <c r="R73" s="283" t="str">
        <f>IF(P73="terminé", N73,"")</f>
        <v/>
      </c>
      <c r="S73" s="138">
        <f t="shared" si="9"/>
        <v>0</v>
      </c>
      <c r="T73" s="138">
        <f t="shared" si="10"/>
        <v>0</v>
      </c>
      <c r="U73" s="138">
        <f t="shared" si="11"/>
        <v>0</v>
      </c>
      <c r="V73" s="138">
        <f t="shared" si="12"/>
        <v>0</v>
      </c>
      <c r="W73" s="138">
        <f t="shared" si="13"/>
        <v>0</v>
      </c>
      <c r="X73" s="138">
        <f t="shared" si="14"/>
        <v>0</v>
      </c>
      <c r="Y73" s="138">
        <f t="shared" si="15"/>
        <v>0</v>
      </c>
      <c r="AA73" s="287">
        <f>IF(('Synthèse PER'!P73="A faire")*AND('Synthèse PER'!F73="Agriculture"),'Synthèse PER'!H73,0)</f>
        <v>0</v>
      </c>
      <c r="AB73" s="287">
        <f>IF(('Synthèse PER'!P73="A faire")*AND('Synthèse PER'!F73="Industrie"),'Synthèse PER'!H73,0)</f>
        <v>0</v>
      </c>
      <c r="AC73" s="287">
        <f>IF(('Synthèse PER'!P73="A faire")*AND('Synthèse PER'!F73="Citoyen"),'Synthèse PER'!H73,0)</f>
        <v>0</v>
      </c>
      <c r="AD73" s="287">
        <f>IF(('Synthèse PER'!P73="A faire")*AND('Synthèse PER'!F73="IDELUX"),'Synthèse PER'!H73,0)</f>
        <v>0</v>
      </c>
      <c r="AE73" s="290">
        <f>IF(('Synthèse PER'!P73="A faire")*AND('Synthèse PER'!F73="AC MESSANCY"),'Synthèse PER'!H73,0)</f>
        <v>20000</v>
      </c>
      <c r="AF73" s="287">
        <f>IF(('Synthèse PER'!P73="A faire")*AND('Synthèse PER'!F73="Tertiaire"),'Synthèse PER'!H73,0)</f>
        <v>0</v>
      </c>
      <c r="AG73" s="288"/>
      <c r="AH73" s="290">
        <f>IF(('Synthèse PER'!P73="A faire")*AND('Synthèse PER'!F73="Agriculture"),'Synthèse PER'!J73,0)</f>
        <v>0</v>
      </c>
      <c r="AI73" s="290">
        <f>IF(('Synthèse PER'!P73="A faire")*AND('Synthèse PER'!F73="Industrie"),'Synthèse PER'!J73,0)</f>
        <v>0</v>
      </c>
      <c r="AJ73" s="290">
        <f>IF(('Synthèse PER'!P73="A faire")*AND('Synthèse PER'!F73="Citoyen"),'Synthèse PER'!J73,0)</f>
        <v>0</v>
      </c>
      <c r="AK73" s="290">
        <f>IF(('Synthèse PER'!P73="A faire")*AND('Synthèse PER'!F73="IDELUX"),'Synthèse PER'!J73,0)</f>
        <v>0</v>
      </c>
      <c r="AL73" s="290">
        <f>IF(('Synthèse PER'!P73="A faire")*AND('Synthèse PER'!F73="AC MESSANCY"),'Synthèse PER'!J73,0)</f>
        <v>0</v>
      </c>
      <c r="AM73" s="290">
        <f>IF(('Synthèse PER'!P73="A faire")*AND('Synthèse PER'!F73="Tertiaire"),'Synthèse PER'!J73,0)</f>
        <v>0</v>
      </c>
      <c r="AN73" s="288"/>
      <c r="AO73" s="290">
        <f>IF(('Synthèse PER'!P73="A faire")*AND('Synthèse PER'!E73="Territoire"),'Synthèse PER'!H73,0)</f>
        <v>0</v>
      </c>
      <c r="AP73" s="290">
        <f>IF(('Synthèse PER'!P73="A faire")*AND('Synthèse PER'!E73="Agriculture"),'Synthèse PER'!H73,0)</f>
        <v>0</v>
      </c>
      <c r="AQ73" s="290">
        <f>IF(('Synthèse PER'!P73="A faire")*AND('Synthèse PER'!E73="Industrie"),'Synthèse PER'!H73,0)</f>
        <v>0</v>
      </c>
      <c r="AR73" s="290">
        <f>IF(('Synthèse PER'!P73="A faire")*AND('Synthèse PER'!E73="Logement"),'Synthèse PER'!H73,0)</f>
        <v>0</v>
      </c>
      <c r="AS73" s="290">
        <f>IF(('Synthèse PER'!P73="A faire")*AND('Synthèse PER'!E73="Tertiaire"),'Synthèse PER'!H73,0)</f>
        <v>0</v>
      </c>
      <c r="AT73" s="290">
        <f>IF(('Synthèse PER'!P73="A faire")*AND('Synthèse PER'!E73="Transport"),'Synthèse PER'!H73,0)</f>
        <v>20000</v>
      </c>
      <c r="AU73" s="290">
        <f>IF(('Synthèse PER'!P73="A faire")*AND('Synthèse PER'!E73="Communal"),'Synthèse PER'!H73,0)</f>
        <v>0</v>
      </c>
      <c r="AV73" s="288"/>
      <c r="AW73" s="290">
        <f>IF(('Synthèse PER'!P73="A faire")*AND('Synthèse PER'!E73="Territoire"),'Synthèse PER'!J73,0)</f>
        <v>0</v>
      </c>
      <c r="AX73" s="290">
        <f>IF(('Synthèse PER'!P73="A faire")*AND('Synthèse PER'!E73="Agriculture"),'Synthèse PER'!J73,0)</f>
        <v>0</v>
      </c>
      <c r="AY73" s="290">
        <f>IF(('Synthèse PER'!P73="A faire")*AND('Synthèse PER'!E73="Industrie"),'Synthèse PER'!J73,0)</f>
        <v>0</v>
      </c>
      <c r="AZ73" s="290">
        <f>IF(('Synthèse PER'!P73="A faire")*AND('Synthèse PER'!E73="Logement"),'Synthèse PER'!J73,0)</f>
        <v>0</v>
      </c>
      <c r="BA73" s="290">
        <f>IF(('Synthèse PER'!P73="A faire")*AND('Synthèse PER'!E73="Tertiaire"),'Synthèse PER'!J73,0)</f>
        <v>0</v>
      </c>
      <c r="BB73" s="290">
        <f>IF(('Synthèse PER'!P73="A faire")*AND('Synthèse PER'!E73="Transport"),'Synthèse PER'!J73,0)</f>
        <v>0</v>
      </c>
      <c r="BC73" s="290">
        <f>IF(('Synthèse PER'!P73="A faire")*AND('Synthèse PER'!E73="Communal"),'Synthèse PER'!J73,0)</f>
        <v>0</v>
      </c>
      <c r="BD73" s="288"/>
      <c r="BE73" s="290">
        <f>IF(('Synthèse PER'!P73="A faire")*AND('Synthèse PER'!E73="Territoire"),'Synthèse PER'!K73,0)</f>
        <v>0</v>
      </c>
      <c r="BF73" s="290">
        <f>IF(('Synthèse PER'!P73="A faire")*AND('Synthèse PER'!E73="Agriculture"),'Synthèse PER'!K73,0)</f>
        <v>0</v>
      </c>
      <c r="BG73" s="290">
        <f>IF(('Synthèse PER'!P73="A faire")*AND('Synthèse PER'!E73="Industrie"),'Synthèse PER'!K73,0)</f>
        <v>0</v>
      </c>
      <c r="BH73" s="290">
        <f>IF(('Synthèse PER'!P73="A faire")*AND('Synthèse PER'!E73="Logement"),'Synthèse PER'!K73,0)</f>
        <v>0</v>
      </c>
      <c r="BI73" s="290">
        <f>IF(('Synthèse PER'!P73="A faire")*AND('Synthèse PER'!E73="Tertiaire"),'Synthèse PER'!K73,0)</f>
        <v>0</v>
      </c>
      <c r="BJ73" s="290">
        <f>IF(('Synthèse PER'!P73="A faire")*AND('Synthèse PER'!E73="Transport"),'Synthèse PER'!K73,0)</f>
        <v>1</v>
      </c>
      <c r="BK73" s="290">
        <f>IF(('Synthèse PER'!P73="A faire")*AND('Synthèse PER'!E73="Communal"),'Synthèse PER'!K73,0)</f>
        <v>0</v>
      </c>
      <c r="BL73" s="288"/>
      <c r="BM73" s="290">
        <f>IF(('Synthèse PER'!P73="A faire")*AND('Synthèse PER'!E73="Territoire"),'Synthèse PER'!L73,0)</f>
        <v>0</v>
      </c>
      <c r="BN73" s="290">
        <f>IF(('Synthèse PER'!P73="A faire")*AND('Synthèse PER'!E73="Agriculture"),'Synthèse PER'!L73,0)</f>
        <v>0</v>
      </c>
      <c r="BO73" s="290">
        <f>IF(('Synthèse PER'!P73="A faire")*AND('Synthèse PER'!E73="Industrie"),'Synthèse PER'!L73,0)</f>
        <v>0</v>
      </c>
      <c r="BP73" s="290">
        <f>IF(('Synthèse PER'!P73="A faire")*AND('Synthèse PER'!E73="Logement"),'Synthèse PER'!L73,0)</f>
        <v>0</v>
      </c>
      <c r="BQ73" s="290">
        <f>IF(('Synthèse PER'!P73="A faire")*AND('Synthèse PER'!E73="Tertiaire"),'Synthèse PER'!L73,0)</f>
        <v>0</v>
      </c>
      <c r="BR73" s="290">
        <f>IF(('Synthèse PER'!P73="A faire")*AND('Synthèse PER'!E73="Transport"),'Synthèse PER'!L73,0)</f>
        <v>0</v>
      </c>
      <c r="BS73" s="290">
        <f>IF(('Synthèse PER'!P73="A faire")*AND('Synthèse PER'!E73="Communal"),'Synthèse PER'!L73,0)</f>
        <v>0</v>
      </c>
      <c r="BT73" s="290">
        <f>IF(('Synthèse PER'!Q73="A faire")*AND('Synthèse PER'!F73="Communal"),'Synthèse PER'!M73,0)</f>
        <v>0</v>
      </c>
    </row>
    <row r="74" spans="1:72" s="139" customFormat="1" x14ac:dyDescent="0.25">
      <c r="A74" s="369" t="s">
        <v>906</v>
      </c>
      <c r="B74" s="513" t="str">
        <f>'ADU-57'!B$3:E$3</f>
        <v>Mobilité</v>
      </c>
      <c r="C74" s="419" t="str">
        <f>'ADU-57'!$B$8</f>
        <v>Véhicules propres</v>
      </c>
      <c r="D74" s="133" t="str">
        <f>'ADU-57'!$B$9</f>
        <v>Voitures hybrides</v>
      </c>
      <c r="E74" s="133" t="str">
        <f>'ADU-57'!$B$4</f>
        <v>Transport</v>
      </c>
      <c r="F74" s="133" t="str">
        <f>'ADU-57'!$B$12</f>
        <v>Citoyen</v>
      </c>
      <c r="G74" s="133" t="str">
        <f>'ADU-57'!$B$6</f>
        <v>Fonds propres</v>
      </c>
      <c r="H74" s="134">
        <f>'ADU-57'!$B$17</f>
        <v>9000000</v>
      </c>
      <c r="I74" s="133" t="str">
        <f>'ADU-57'!$B$7</f>
        <v>Néant</v>
      </c>
      <c r="J74" s="134">
        <f>'ADU-57'!$B$18</f>
        <v>0</v>
      </c>
      <c r="K74" s="134">
        <f>'ADU-57'!$B$21</f>
        <v>463804.08163265308</v>
      </c>
      <c r="L74" s="134">
        <f>'ADU-57'!$B$22</f>
        <v>0</v>
      </c>
      <c r="M74" s="135">
        <f>'ADU-57'!$B$24</f>
        <v>2.1560827935792735</v>
      </c>
      <c r="N74" s="135">
        <f>'ADU-57'!$B$19/1000</f>
        <v>711.27551020408168</v>
      </c>
      <c r="O74" s="136">
        <f t="shared" ref="O74:O77" si="65">IF(H74=0,0,N74/(H74-J74)*1000)</f>
        <v>7.9030612244897963E-2</v>
      </c>
      <c r="P74" s="137" t="str">
        <f>'ADU-57'!$B$5</f>
        <v>A faire</v>
      </c>
      <c r="Q74" s="140">
        <f>'ADU-57'!$B$16</f>
        <v>2030</v>
      </c>
      <c r="R74" s="283" t="str">
        <f t="shared" ref="R74:R77" si="66">IF(P74="terminé", N74,"")</f>
        <v/>
      </c>
      <c r="S74" s="138">
        <f t="shared" ref="S74:S77" si="67">IF((P74="Terminé")*AND(E74="Territoire"),N74,0)</f>
        <v>0</v>
      </c>
      <c r="T74" s="138">
        <f t="shared" ref="T74:T77" si="68">IF((P74="Terminé")*AND(E74="Agriculture"),N74,0)</f>
        <v>0</v>
      </c>
      <c r="U74" s="138">
        <f t="shared" ref="U74:U77" si="69">IF((P74="Terminé")*AND(E74="Industrie"), N74,0)</f>
        <v>0</v>
      </c>
      <c r="V74" s="138">
        <f t="shared" ref="V74:V77" si="70">IF((P74="Terminé")*AND(E74="Logement"),N74,0)</f>
        <v>0</v>
      </c>
      <c r="W74" s="138">
        <f t="shared" ref="W74:W77" si="71">IF((P74="Terminé")*AND(E74="Tertiaire"),N74,0)</f>
        <v>0</v>
      </c>
      <c r="X74" s="138">
        <f t="shared" ref="X74:X77" si="72">IF((P74="Terminé")*AND(E74="Transport"),N74,0)</f>
        <v>0</v>
      </c>
      <c r="Y74" s="138">
        <f t="shared" ref="Y74:Y77" si="73">IF((P74="Terminé")*AND(E74="Communal"),N74,0)</f>
        <v>0</v>
      </c>
      <c r="AA74" s="287">
        <f>IF(('Synthèse PER'!P74="A faire")*AND('Synthèse PER'!F74="Agriculture"),'Synthèse PER'!H74,0)</f>
        <v>0</v>
      </c>
      <c r="AB74" s="287">
        <f>IF(('Synthèse PER'!P74="A faire")*AND('Synthèse PER'!F74="Industrie"),'Synthèse PER'!H74,0)</f>
        <v>0</v>
      </c>
      <c r="AC74" s="287">
        <f>IF(('Synthèse PER'!P74="A faire")*AND('Synthèse PER'!F74="Citoyen"),'Synthèse PER'!H74,0)</f>
        <v>9000000</v>
      </c>
      <c r="AD74" s="287">
        <f>IF(('Synthèse PER'!P74="A faire")*AND('Synthèse PER'!F74="IDELUX"),'Synthèse PER'!H74,0)</f>
        <v>0</v>
      </c>
      <c r="AE74" s="290">
        <f>IF(('Synthèse PER'!P74="A faire")*AND('Synthèse PER'!F74="AC MESSANCY"),'Synthèse PER'!H74,0)</f>
        <v>0</v>
      </c>
      <c r="AF74" s="287">
        <f>IF(('Synthèse PER'!P74="A faire")*AND('Synthèse PER'!F74="Tertiaire"),'Synthèse PER'!H74,0)</f>
        <v>0</v>
      </c>
      <c r="AG74" s="288"/>
      <c r="AH74" s="290">
        <f>IF(('Synthèse PER'!P74="A faire")*AND('Synthèse PER'!F74="Agriculture"),'Synthèse PER'!J74,0)</f>
        <v>0</v>
      </c>
      <c r="AI74" s="290">
        <f>IF(('Synthèse PER'!P74="A faire")*AND('Synthèse PER'!F74="Industrie"),'Synthèse PER'!J74,0)</f>
        <v>0</v>
      </c>
      <c r="AJ74" s="290">
        <f>IF(('Synthèse PER'!P74="A faire")*AND('Synthèse PER'!F74="Citoyen"),'Synthèse PER'!J74,0)</f>
        <v>0</v>
      </c>
      <c r="AK74" s="290">
        <f>IF(('Synthèse PER'!P74="A faire")*AND('Synthèse PER'!F74="IDELUX"),'Synthèse PER'!J74,0)</f>
        <v>0</v>
      </c>
      <c r="AL74" s="290">
        <f>IF(('Synthèse PER'!P74="A faire")*AND('Synthèse PER'!F74="AC MESSANCY"),'Synthèse PER'!J74,0)</f>
        <v>0</v>
      </c>
      <c r="AM74" s="290">
        <f>IF(('Synthèse PER'!P74="A faire")*AND('Synthèse PER'!F74="Tertiaire"),'Synthèse PER'!J74,0)</f>
        <v>0</v>
      </c>
      <c r="AN74" s="288"/>
      <c r="AO74" s="290">
        <f>IF(('Synthèse PER'!P74="A faire")*AND('Synthèse PER'!E74="Territoire"),'Synthèse PER'!H74,0)</f>
        <v>0</v>
      </c>
      <c r="AP74" s="290">
        <f>IF(('Synthèse PER'!P74="A faire")*AND('Synthèse PER'!E74="Agriculture"),'Synthèse PER'!H74,0)</f>
        <v>0</v>
      </c>
      <c r="AQ74" s="290">
        <f>IF(('Synthèse PER'!P74="A faire")*AND('Synthèse PER'!E74="Industrie"),'Synthèse PER'!H74,0)</f>
        <v>0</v>
      </c>
      <c r="AR74" s="290">
        <f>IF(('Synthèse PER'!P74="A faire")*AND('Synthèse PER'!E74="Logement"),'Synthèse PER'!H74,0)</f>
        <v>0</v>
      </c>
      <c r="AS74" s="290">
        <f>IF(('Synthèse PER'!P74="A faire")*AND('Synthèse PER'!E74="Tertiaire"),'Synthèse PER'!H74,0)</f>
        <v>0</v>
      </c>
      <c r="AT74" s="290">
        <f>IF(('Synthèse PER'!P74="A faire")*AND('Synthèse PER'!E74="Transport"),'Synthèse PER'!H74,0)</f>
        <v>9000000</v>
      </c>
      <c r="AU74" s="290">
        <f>IF(('Synthèse PER'!P74="A faire")*AND('Synthèse PER'!E74="Communal"),'Synthèse PER'!H74,0)</f>
        <v>0</v>
      </c>
      <c r="AV74" s="288"/>
      <c r="AW74" s="290">
        <f>IF(('Synthèse PER'!P74="A faire")*AND('Synthèse PER'!E74="Territoire"),'Synthèse PER'!J74,0)</f>
        <v>0</v>
      </c>
      <c r="AX74" s="290">
        <f>IF(('Synthèse PER'!P74="A faire")*AND('Synthèse PER'!E74="Agriculture"),'Synthèse PER'!J74,0)</f>
        <v>0</v>
      </c>
      <c r="AY74" s="290">
        <f>IF(('Synthèse PER'!P74="A faire")*AND('Synthèse PER'!E74="Industrie"),'Synthèse PER'!J74,0)</f>
        <v>0</v>
      </c>
      <c r="AZ74" s="290">
        <f>IF(('Synthèse PER'!P74="A faire")*AND('Synthèse PER'!E74="Logement"),'Synthèse PER'!J74,0)</f>
        <v>0</v>
      </c>
      <c r="BA74" s="290">
        <f>IF(('Synthèse PER'!P74="A faire")*AND('Synthèse PER'!E74="Tertiaire"),'Synthèse PER'!J74,0)</f>
        <v>0</v>
      </c>
      <c r="BB74" s="290">
        <f>IF(('Synthèse PER'!P74="A faire")*AND('Synthèse PER'!E74="Transport"),'Synthèse PER'!J74,0)</f>
        <v>0</v>
      </c>
      <c r="BC74" s="290">
        <f>IF(('Synthèse PER'!P74="A faire")*AND('Synthèse PER'!E74="Communal"),'Synthèse PER'!J74,0)</f>
        <v>0</v>
      </c>
      <c r="BD74" s="288"/>
      <c r="BE74" s="290">
        <f>IF(('Synthèse PER'!P74="A faire")*AND('Synthèse PER'!E74="Territoire"),'Synthèse PER'!K74,0)</f>
        <v>0</v>
      </c>
      <c r="BF74" s="290">
        <f>IF(('Synthèse PER'!P74="A faire")*AND('Synthèse PER'!E74="Agriculture"),'Synthèse PER'!K74,0)</f>
        <v>0</v>
      </c>
      <c r="BG74" s="290">
        <f>IF(('Synthèse PER'!P74="A faire")*AND('Synthèse PER'!E74="Industrie"),'Synthèse PER'!K74,0)</f>
        <v>0</v>
      </c>
      <c r="BH74" s="290">
        <f>IF(('Synthèse PER'!P74="A faire")*AND('Synthèse PER'!E74="Logement"),'Synthèse PER'!K74,0)</f>
        <v>0</v>
      </c>
      <c r="BI74" s="290">
        <f>IF(('Synthèse PER'!P74="A faire")*AND('Synthèse PER'!E74="Tertiaire"),'Synthèse PER'!K74,0)</f>
        <v>0</v>
      </c>
      <c r="BJ74" s="290">
        <f>IF(('Synthèse PER'!P74="A faire")*AND('Synthèse PER'!E74="Transport"),'Synthèse PER'!K74,0)</f>
        <v>463804.08163265308</v>
      </c>
      <c r="BK74" s="290">
        <f>IF(('Synthèse PER'!P74="A faire")*AND('Synthèse PER'!E74="Communal"),'Synthèse PER'!K74,0)</f>
        <v>0</v>
      </c>
      <c r="BL74" s="288"/>
      <c r="BM74" s="290">
        <f>IF(('Synthèse PER'!P74="A faire")*AND('Synthèse PER'!E74="Territoire"),'Synthèse PER'!L74,0)</f>
        <v>0</v>
      </c>
      <c r="BN74" s="290">
        <f>IF(('Synthèse PER'!P74="A faire")*AND('Synthèse PER'!E74="Agriculture"),'Synthèse PER'!L74,0)</f>
        <v>0</v>
      </c>
      <c r="BO74" s="290">
        <f>IF(('Synthèse PER'!P74="A faire")*AND('Synthèse PER'!E74="Industrie"),'Synthèse PER'!L74,0)</f>
        <v>0</v>
      </c>
      <c r="BP74" s="290">
        <f>IF(('Synthèse PER'!P74="A faire")*AND('Synthèse PER'!E74="Logement"),'Synthèse PER'!L74,0)</f>
        <v>0</v>
      </c>
      <c r="BQ74" s="290">
        <f>IF(('Synthèse PER'!P74="A faire")*AND('Synthèse PER'!E74="Tertiaire"),'Synthèse PER'!L74,0)</f>
        <v>0</v>
      </c>
      <c r="BR74" s="290">
        <f>IF(('Synthèse PER'!P74="A faire")*AND('Synthèse PER'!E74="Transport"),'Synthèse PER'!L74,0)</f>
        <v>0</v>
      </c>
      <c r="BS74" s="290">
        <f>IF(('Synthèse PER'!P74="A faire")*AND('Synthèse PER'!E74="Communal"),'Synthèse PER'!L74,0)</f>
        <v>0</v>
      </c>
      <c r="BT74" s="290"/>
    </row>
    <row r="75" spans="1:72" s="139" customFormat="1" x14ac:dyDescent="0.25">
      <c r="A75" s="369" t="s">
        <v>923</v>
      </c>
      <c r="B75" s="513" t="str">
        <f>'ADU-58'!B$3:E$3</f>
        <v>Mobilité</v>
      </c>
      <c r="C75" s="419" t="str">
        <f>'ADU-58'!$B$8</f>
        <v>Véhicules propres</v>
      </c>
      <c r="D75" s="133" t="str">
        <f>'ADU-58'!$B$9</f>
        <v>Voitures H2</v>
      </c>
      <c r="E75" s="133" t="str">
        <f>'ADU-58'!$B$4</f>
        <v>Transport</v>
      </c>
      <c r="F75" s="133" t="str">
        <f>'ADU-58'!$B$12</f>
        <v>Citoyen</v>
      </c>
      <c r="G75" s="133" t="str">
        <f>'ADU-58'!$B$6</f>
        <v>Fonds propres</v>
      </c>
      <c r="H75" s="134">
        <f>'ADU-58'!$B$17</f>
        <v>2000000</v>
      </c>
      <c r="I75" s="133" t="str">
        <f>'ADU-58'!$B$7</f>
        <v>Néant</v>
      </c>
      <c r="J75" s="134">
        <f>'ADU-58'!$B$18</f>
        <v>0</v>
      </c>
      <c r="K75" s="134">
        <f>'ADU-58'!$B$21</f>
        <v>449195.2</v>
      </c>
      <c r="L75" s="134">
        <f>'ADU-58'!$B$22</f>
        <v>0</v>
      </c>
      <c r="M75" s="135">
        <f>'ADU-58'!$B$24</f>
        <v>0.89048146551877672</v>
      </c>
      <c r="N75" s="135">
        <f>'ADU-58'!$B$19/1000</f>
        <v>2788.2</v>
      </c>
      <c r="O75" s="136">
        <f t="shared" si="65"/>
        <v>1.3940999999999999</v>
      </c>
      <c r="P75" s="137" t="str">
        <f>'ADU-58'!$B$5</f>
        <v>A faire</v>
      </c>
      <c r="Q75" s="140">
        <f>'ADU-58'!$B$16</f>
        <v>2030</v>
      </c>
      <c r="R75" s="283" t="str">
        <f t="shared" si="66"/>
        <v/>
      </c>
      <c r="S75" s="138">
        <f t="shared" si="67"/>
        <v>0</v>
      </c>
      <c r="T75" s="138">
        <f t="shared" si="68"/>
        <v>0</v>
      </c>
      <c r="U75" s="138">
        <f t="shared" si="69"/>
        <v>0</v>
      </c>
      <c r="V75" s="138">
        <f t="shared" si="70"/>
        <v>0</v>
      </c>
      <c r="W75" s="138">
        <f t="shared" si="71"/>
        <v>0</v>
      </c>
      <c r="X75" s="138">
        <f t="shared" si="72"/>
        <v>0</v>
      </c>
      <c r="Y75" s="138">
        <f t="shared" si="73"/>
        <v>0</v>
      </c>
      <c r="AA75" s="287">
        <f>IF(('Synthèse PER'!P75="A faire")*AND('Synthèse PER'!F75="Agriculture"),'Synthèse PER'!H75,0)</f>
        <v>0</v>
      </c>
      <c r="AB75" s="287">
        <f>IF(('Synthèse PER'!P75="A faire")*AND('Synthèse PER'!F75="Industrie"),'Synthèse PER'!H75,0)</f>
        <v>0</v>
      </c>
      <c r="AC75" s="287">
        <f>IF(('Synthèse PER'!P75="A faire")*AND('Synthèse PER'!F75="Citoyen"),'Synthèse PER'!H75,0)</f>
        <v>2000000</v>
      </c>
      <c r="AD75" s="287">
        <f>IF(('Synthèse PER'!P75="A faire")*AND('Synthèse PER'!F75="IDELUX"),'Synthèse PER'!H75,0)</f>
        <v>0</v>
      </c>
      <c r="AE75" s="290">
        <f>IF(('Synthèse PER'!P75="A faire")*AND('Synthèse PER'!F75="AC MESSANCY"),'Synthèse PER'!H75,0)</f>
        <v>0</v>
      </c>
      <c r="AF75" s="287">
        <f>IF(('Synthèse PER'!P75="A faire")*AND('Synthèse PER'!F75="Tertiaire"),'Synthèse PER'!H75,0)</f>
        <v>0</v>
      </c>
      <c r="AG75" s="288"/>
      <c r="AH75" s="290">
        <f>IF(('Synthèse PER'!P75="A faire")*AND('Synthèse PER'!F75="Agriculture"),'Synthèse PER'!J75,0)</f>
        <v>0</v>
      </c>
      <c r="AI75" s="290">
        <f>IF(('Synthèse PER'!P75="A faire")*AND('Synthèse PER'!F75="Industrie"),'Synthèse PER'!J75,0)</f>
        <v>0</v>
      </c>
      <c r="AJ75" s="290">
        <f>IF(('Synthèse PER'!P75="A faire")*AND('Synthèse PER'!F75="Citoyen"),'Synthèse PER'!J75,0)</f>
        <v>0</v>
      </c>
      <c r="AK75" s="290">
        <f>IF(('Synthèse PER'!P75="A faire")*AND('Synthèse PER'!F75="IDELUX"),'Synthèse PER'!J75,0)</f>
        <v>0</v>
      </c>
      <c r="AL75" s="290">
        <f>IF(('Synthèse PER'!P75="A faire")*AND('Synthèse PER'!F75="AC MESSANCY"),'Synthèse PER'!J75,0)</f>
        <v>0</v>
      </c>
      <c r="AM75" s="290">
        <f>IF(('Synthèse PER'!P75="A faire")*AND('Synthèse PER'!F75="Tertiaire"),'Synthèse PER'!J75,0)</f>
        <v>0</v>
      </c>
      <c r="AN75" s="288"/>
      <c r="AO75" s="290">
        <f>IF(('Synthèse PER'!P75="A faire")*AND('Synthèse PER'!E75="Territoire"),'Synthèse PER'!H75,0)</f>
        <v>0</v>
      </c>
      <c r="AP75" s="290">
        <f>IF(('Synthèse PER'!P75="A faire")*AND('Synthèse PER'!E75="Agriculture"),'Synthèse PER'!H75,0)</f>
        <v>0</v>
      </c>
      <c r="AQ75" s="290">
        <f>IF(('Synthèse PER'!P75="A faire")*AND('Synthèse PER'!E75="Industrie"),'Synthèse PER'!H75,0)</f>
        <v>0</v>
      </c>
      <c r="AR75" s="290">
        <f>IF(('Synthèse PER'!P75="A faire")*AND('Synthèse PER'!E75="Logement"),'Synthèse PER'!H75,0)</f>
        <v>0</v>
      </c>
      <c r="AS75" s="290">
        <f>IF(('Synthèse PER'!P75="A faire")*AND('Synthèse PER'!E75="Tertiaire"),'Synthèse PER'!H75,0)</f>
        <v>0</v>
      </c>
      <c r="AT75" s="290">
        <f>IF(('Synthèse PER'!P75="A faire")*AND('Synthèse PER'!E75="Transport"),'Synthèse PER'!H75,0)</f>
        <v>2000000</v>
      </c>
      <c r="AU75" s="290">
        <f>IF(('Synthèse PER'!P75="A faire")*AND('Synthèse PER'!E75="Communal"),'Synthèse PER'!H75,0)</f>
        <v>0</v>
      </c>
      <c r="AV75" s="288"/>
      <c r="AW75" s="290">
        <f>IF(('Synthèse PER'!P75="A faire")*AND('Synthèse PER'!E75="Territoire"),'Synthèse PER'!J75,0)</f>
        <v>0</v>
      </c>
      <c r="AX75" s="290">
        <f>IF(('Synthèse PER'!P75="A faire")*AND('Synthèse PER'!E75="Agriculture"),'Synthèse PER'!J75,0)</f>
        <v>0</v>
      </c>
      <c r="AY75" s="290">
        <f>IF(('Synthèse PER'!P75="A faire")*AND('Synthèse PER'!E75="Industrie"),'Synthèse PER'!J75,0)</f>
        <v>0</v>
      </c>
      <c r="AZ75" s="290">
        <f>IF(('Synthèse PER'!P75="A faire")*AND('Synthèse PER'!E75="Logement"),'Synthèse PER'!J75,0)</f>
        <v>0</v>
      </c>
      <c r="BA75" s="290">
        <f>IF(('Synthèse PER'!P75="A faire")*AND('Synthèse PER'!E75="Tertiaire"),'Synthèse PER'!J75,0)</f>
        <v>0</v>
      </c>
      <c r="BB75" s="290">
        <f>IF(('Synthèse PER'!P75="A faire")*AND('Synthèse PER'!E75="Transport"),'Synthèse PER'!J75,0)</f>
        <v>0</v>
      </c>
      <c r="BC75" s="290">
        <f>IF(('Synthèse PER'!P75="A faire")*AND('Synthèse PER'!E75="Communal"),'Synthèse PER'!J75,0)</f>
        <v>0</v>
      </c>
      <c r="BD75" s="288"/>
      <c r="BE75" s="290">
        <f>IF(('Synthèse PER'!P75="A faire")*AND('Synthèse PER'!E75="Territoire"),'Synthèse PER'!K75,0)</f>
        <v>0</v>
      </c>
      <c r="BF75" s="290">
        <f>IF(('Synthèse PER'!P75="A faire")*AND('Synthèse PER'!E75="Agriculture"),'Synthèse PER'!K75,0)</f>
        <v>0</v>
      </c>
      <c r="BG75" s="290">
        <f>IF(('Synthèse PER'!P75="A faire")*AND('Synthèse PER'!E75="Industrie"),'Synthèse PER'!K75,0)</f>
        <v>0</v>
      </c>
      <c r="BH75" s="290">
        <f>IF(('Synthèse PER'!P75="A faire")*AND('Synthèse PER'!E75="Logement"),'Synthèse PER'!K75,0)</f>
        <v>0</v>
      </c>
      <c r="BI75" s="290">
        <f>IF(('Synthèse PER'!P75="A faire")*AND('Synthèse PER'!E75="Tertiaire"),'Synthèse PER'!K75,0)</f>
        <v>0</v>
      </c>
      <c r="BJ75" s="290">
        <f>IF(('Synthèse PER'!P75="A faire")*AND('Synthèse PER'!E75="Transport"),'Synthèse PER'!K75,0)</f>
        <v>449195.2</v>
      </c>
      <c r="BK75" s="290">
        <f>IF(('Synthèse PER'!P75="A faire")*AND('Synthèse PER'!E75="Communal"),'Synthèse PER'!K75,0)</f>
        <v>0</v>
      </c>
      <c r="BL75" s="288"/>
      <c r="BM75" s="290">
        <f>IF(('Synthèse PER'!P75="A faire")*AND('Synthèse PER'!E75="Territoire"),'Synthèse PER'!L75,0)</f>
        <v>0</v>
      </c>
      <c r="BN75" s="290">
        <f>IF(('Synthèse PER'!P75="A faire")*AND('Synthèse PER'!E75="Agriculture"),'Synthèse PER'!L75,0)</f>
        <v>0</v>
      </c>
      <c r="BO75" s="290">
        <f>IF(('Synthèse PER'!P75="A faire")*AND('Synthèse PER'!E75="Industrie"),'Synthèse PER'!L75,0)</f>
        <v>0</v>
      </c>
      <c r="BP75" s="290">
        <f>IF(('Synthèse PER'!P75="A faire")*AND('Synthèse PER'!E75="Logement"),'Synthèse PER'!L75,0)</f>
        <v>0</v>
      </c>
      <c r="BQ75" s="290">
        <f>IF(('Synthèse PER'!P75="A faire")*AND('Synthèse PER'!E75="Tertiaire"),'Synthèse PER'!L75,0)</f>
        <v>0</v>
      </c>
      <c r="BR75" s="290">
        <f>IF(('Synthèse PER'!P75="A faire")*AND('Synthèse PER'!E75="Transport"),'Synthèse PER'!L75,0)</f>
        <v>0</v>
      </c>
      <c r="BS75" s="290">
        <f>IF(('Synthèse PER'!P75="A faire")*AND('Synthèse PER'!E75="Communal"),'Synthèse PER'!L75,0)</f>
        <v>0</v>
      </c>
      <c r="BT75" s="290"/>
    </row>
    <row r="76" spans="1:72" s="139" customFormat="1" x14ac:dyDescent="0.25">
      <c r="A76" s="369" t="s">
        <v>922</v>
      </c>
      <c r="B76" s="513" t="str">
        <f>'ADU-59'!B$3:E$3</f>
        <v>Mobilité</v>
      </c>
      <c r="C76" s="419" t="str">
        <f>'ADU-59'!$B$8</f>
        <v>Véhicules propres</v>
      </c>
      <c r="D76" s="133" t="str">
        <f>'ADU-59'!$B$9</f>
        <v>Voitures CNG</v>
      </c>
      <c r="E76" s="133" t="str">
        <f>'ADU-59'!$B$4</f>
        <v>Transport</v>
      </c>
      <c r="F76" s="133" t="str">
        <f>'ADU-59'!$B$12</f>
        <v>Citoyen</v>
      </c>
      <c r="G76" s="133" t="str">
        <f>'ADU-59'!$B$6</f>
        <v>Fonds propres</v>
      </c>
      <c r="H76" s="134">
        <f>'ADU-59'!$B$17</f>
        <v>11000000</v>
      </c>
      <c r="I76" s="133" t="str">
        <f>'ADU-59'!$B$7</f>
        <v>Néant</v>
      </c>
      <c r="J76" s="134">
        <f>'ADU-59'!$B$18</f>
        <v>0</v>
      </c>
      <c r="K76" s="134">
        <f>'ADU-59'!$B$21</f>
        <v>441465</v>
      </c>
      <c r="L76" s="134">
        <f>'ADU-59'!$B$22</f>
        <v>0</v>
      </c>
      <c r="M76" s="135">
        <f>'ADU-59'!$B$24</f>
        <v>2.265185235522635</v>
      </c>
      <c r="N76" s="135">
        <f>'ADU-59'!$B$19/1000</f>
        <v>0</v>
      </c>
      <c r="O76" s="136">
        <f t="shared" si="65"/>
        <v>0</v>
      </c>
      <c r="P76" s="137" t="str">
        <f>'ADU-59'!$B$5</f>
        <v>A faire</v>
      </c>
      <c r="Q76" s="140">
        <f>'ADU-59'!$B$16</f>
        <v>2030</v>
      </c>
      <c r="R76" s="283" t="str">
        <f t="shared" si="66"/>
        <v/>
      </c>
      <c r="S76" s="138">
        <f t="shared" si="67"/>
        <v>0</v>
      </c>
      <c r="T76" s="138">
        <f t="shared" si="68"/>
        <v>0</v>
      </c>
      <c r="U76" s="138">
        <f t="shared" si="69"/>
        <v>0</v>
      </c>
      <c r="V76" s="138">
        <f t="shared" si="70"/>
        <v>0</v>
      </c>
      <c r="W76" s="138">
        <f t="shared" si="71"/>
        <v>0</v>
      </c>
      <c r="X76" s="138">
        <f t="shared" si="72"/>
        <v>0</v>
      </c>
      <c r="Y76" s="138">
        <f t="shared" si="73"/>
        <v>0</v>
      </c>
      <c r="AA76" s="287">
        <f>IF(('Synthèse PER'!P76="A faire")*AND('Synthèse PER'!F76="Agriculture"),'Synthèse PER'!H76,0)</f>
        <v>0</v>
      </c>
      <c r="AB76" s="287">
        <f>IF(('Synthèse PER'!P76="A faire")*AND('Synthèse PER'!F76="Industrie"),'Synthèse PER'!H76,0)</f>
        <v>0</v>
      </c>
      <c r="AC76" s="287">
        <f>IF(('Synthèse PER'!P76="A faire")*AND('Synthèse PER'!F76="Citoyen"),'Synthèse PER'!H76,0)</f>
        <v>11000000</v>
      </c>
      <c r="AD76" s="287">
        <f>IF(('Synthèse PER'!P76="A faire")*AND('Synthèse PER'!F76="IDELUX"),'Synthèse PER'!H76,0)</f>
        <v>0</v>
      </c>
      <c r="AE76" s="290">
        <f>IF(('Synthèse PER'!P76="A faire")*AND('Synthèse PER'!F76="AC MESSANCY"),'Synthèse PER'!H76,0)</f>
        <v>0</v>
      </c>
      <c r="AF76" s="287">
        <f>IF(('Synthèse PER'!P76="A faire")*AND('Synthèse PER'!F76="Tertiaire"),'Synthèse PER'!H76,0)</f>
        <v>0</v>
      </c>
      <c r="AG76" s="288"/>
      <c r="AH76" s="290">
        <f>IF(('Synthèse PER'!P76="A faire")*AND('Synthèse PER'!F76="Agriculture"),'Synthèse PER'!J76,0)</f>
        <v>0</v>
      </c>
      <c r="AI76" s="290">
        <f>IF(('Synthèse PER'!P76="A faire")*AND('Synthèse PER'!F76="Industrie"),'Synthèse PER'!J76,0)</f>
        <v>0</v>
      </c>
      <c r="AJ76" s="290">
        <f>IF(('Synthèse PER'!P76="A faire")*AND('Synthèse PER'!F76="Citoyen"),'Synthèse PER'!J76,0)</f>
        <v>0</v>
      </c>
      <c r="AK76" s="290">
        <f>IF(('Synthèse PER'!P76="A faire")*AND('Synthèse PER'!F76="IDELUX"),'Synthèse PER'!J76,0)</f>
        <v>0</v>
      </c>
      <c r="AL76" s="290">
        <f>IF(('Synthèse PER'!P76="A faire")*AND('Synthèse PER'!F76="AC MESSANCY"),'Synthèse PER'!J76,0)</f>
        <v>0</v>
      </c>
      <c r="AM76" s="290">
        <f>IF(('Synthèse PER'!P76="A faire")*AND('Synthèse PER'!F76="Tertiaire"),'Synthèse PER'!J76,0)</f>
        <v>0</v>
      </c>
      <c r="AN76" s="288"/>
      <c r="AO76" s="290">
        <f>IF(('Synthèse PER'!P76="A faire")*AND('Synthèse PER'!E76="Territoire"),'Synthèse PER'!H76,0)</f>
        <v>0</v>
      </c>
      <c r="AP76" s="290">
        <f>IF(('Synthèse PER'!P76="A faire")*AND('Synthèse PER'!E76="Agriculture"),'Synthèse PER'!H76,0)</f>
        <v>0</v>
      </c>
      <c r="AQ76" s="290">
        <f>IF(('Synthèse PER'!P76="A faire")*AND('Synthèse PER'!E76="Industrie"),'Synthèse PER'!H76,0)</f>
        <v>0</v>
      </c>
      <c r="AR76" s="290">
        <f>IF(('Synthèse PER'!P76="A faire")*AND('Synthèse PER'!E76="Logement"),'Synthèse PER'!H76,0)</f>
        <v>0</v>
      </c>
      <c r="AS76" s="290">
        <f>IF(('Synthèse PER'!P76="A faire")*AND('Synthèse PER'!E76="Tertiaire"),'Synthèse PER'!H76,0)</f>
        <v>0</v>
      </c>
      <c r="AT76" s="290">
        <f>IF(('Synthèse PER'!P76="A faire")*AND('Synthèse PER'!E76="Transport"),'Synthèse PER'!H76,0)</f>
        <v>11000000</v>
      </c>
      <c r="AU76" s="290">
        <f>IF(('Synthèse PER'!P76="A faire")*AND('Synthèse PER'!E76="Communal"),'Synthèse PER'!H76,0)</f>
        <v>0</v>
      </c>
      <c r="AV76" s="288"/>
      <c r="AW76" s="290">
        <f>IF(('Synthèse PER'!P76="A faire")*AND('Synthèse PER'!E76="Territoire"),'Synthèse PER'!J76,0)</f>
        <v>0</v>
      </c>
      <c r="AX76" s="290">
        <f>IF(('Synthèse PER'!P76="A faire")*AND('Synthèse PER'!E76="Agriculture"),'Synthèse PER'!J76,0)</f>
        <v>0</v>
      </c>
      <c r="AY76" s="290">
        <f>IF(('Synthèse PER'!P76="A faire")*AND('Synthèse PER'!E76="Industrie"),'Synthèse PER'!J76,0)</f>
        <v>0</v>
      </c>
      <c r="AZ76" s="290">
        <f>IF(('Synthèse PER'!P76="A faire")*AND('Synthèse PER'!E76="Logement"),'Synthèse PER'!J76,0)</f>
        <v>0</v>
      </c>
      <c r="BA76" s="290">
        <f>IF(('Synthèse PER'!P76="A faire")*AND('Synthèse PER'!E76="Tertiaire"),'Synthèse PER'!J76,0)</f>
        <v>0</v>
      </c>
      <c r="BB76" s="290">
        <f>IF(('Synthèse PER'!P76="A faire")*AND('Synthèse PER'!E76="Transport"),'Synthèse PER'!J76,0)</f>
        <v>0</v>
      </c>
      <c r="BC76" s="290">
        <f>IF(('Synthèse PER'!P76="A faire")*AND('Synthèse PER'!E76="Communal"),'Synthèse PER'!J76,0)</f>
        <v>0</v>
      </c>
      <c r="BD76" s="288"/>
      <c r="BE76" s="290">
        <f>IF(('Synthèse PER'!P76="A faire")*AND('Synthèse PER'!E76="Territoire"),'Synthèse PER'!K76,0)</f>
        <v>0</v>
      </c>
      <c r="BF76" s="290">
        <f>IF(('Synthèse PER'!P76="A faire")*AND('Synthèse PER'!E76="Agriculture"),'Synthèse PER'!K76,0)</f>
        <v>0</v>
      </c>
      <c r="BG76" s="290">
        <f>IF(('Synthèse PER'!P76="A faire")*AND('Synthèse PER'!E76="Industrie"),'Synthèse PER'!K76,0)</f>
        <v>0</v>
      </c>
      <c r="BH76" s="290">
        <f>IF(('Synthèse PER'!P76="A faire")*AND('Synthèse PER'!E76="Logement"),'Synthèse PER'!K76,0)</f>
        <v>0</v>
      </c>
      <c r="BI76" s="290">
        <f>IF(('Synthèse PER'!P76="A faire")*AND('Synthèse PER'!E76="Tertiaire"),'Synthèse PER'!K76,0)</f>
        <v>0</v>
      </c>
      <c r="BJ76" s="290">
        <f>IF(('Synthèse PER'!P76="A faire")*AND('Synthèse PER'!E76="Transport"),'Synthèse PER'!K76,0)</f>
        <v>441465</v>
      </c>
      <c r="BK76" s="290">
        <f>IF(('Synthèse PER'!P76="A faire")*AND('Synthèse PER'!E76="Communal"),'Synthèse PER'!K76,0)</f>
        <v>0</v>
      </c>
      <c r="BL76" s="288"/>
      <c r="BM76" s="290">
        <f>IF(('Synthèse PER'!P76="A faire")*AND('Synthèse PER'!E76="Territoire"),'Synthèse PER'!L76,0)</f>
        <v>0</v>
      </c>
      <c r="BN76" s="290">
        <f>IF(('Synthèse PER'!P76="A faire")*AND('Synthèse PER'!E76="Agriculture"),'Synthèse PER'!L76,0)</f>
        <v>0</v>
      </c>
      <c r="BO76" s="290">
        <f>IF(('Synthèse PER'!P76="A faire")*AND('Synthèse PER'!E76="Industrie"),'Synthèse PER'!L76,0)</f>
        <v>0</v>
      </c>
      <c r="BP76" s="290">
        <f>IF(('Synthèse PER'!P76="A faire")*AND('Synthèse PER'!E76="Logement"),'Synthèse PER'!L76,0)</f>
        <v>0</v>
      </c>
      <c r="BQ76" s="290">
        <f>IF(('Synthèse PER'!P76="A faire")*AND('Synthèse PER'!E76="Tertiaire"),'Synthèse PER'!L76,0)</f>
        <v>0</v>
      </c>
      <c r="BR76" s="290">
        <f>IF(('Synthèse PER'!P76="A faire")*AND('Synthèse PER'!E76="Transport"),'Synthèse PER'!L76,0)</f>
        <v>0</v>
      </c>
      <c r="BS76" s="290">
        <f>IF(('Synthèse PER'!P76="A faire")*AND('Synthèse PER'!E76="Communal"),'Synthèse PER'!L76,0)</f>
        <v>0</v>
      </c>
      <c r="BT76" s="290"/>
    </row>
    <row r="77" spans="1:72" s="139" customFormat="1" x14ac:dyDescent="0.25">
      <c r="A77" s="369" t="s">
        <v>921</v>
      </c>
      <c r="B77" s="513" t="str">
        <f>'ADU-60'!B$3:E$3</f>
        <v>Mobilité</v>
      </c>
      <c r="C77" s="419" t="str">
        <f>'ADU-60'!$B$8</f>
        <v>Véhicules propres</v>
      </c>
      <c r="D77" s="133" t="str">
        <f>'ADU-60'!$B$9</f>
        <v>Station CNG</v>
      </c>
      <c r="E77" s="133" t="str">
        <f>'ADU-60'!$B$4</f>
        <v>Transport</v>
      </c>
      <c r="F77" s="133" t="str">
        <f>'ADU-60'!$B$12</f>
        <v>IDELUX</v>
      </c>
      <c r="G77" s="133" t="str">
        <f>'ADU-60'!$B$6</f>
        <v>Fonds propres</v>
      </c>
      <c r="H77" s="134">
        <f>'ADU-60'!$B$17</f>
        <v>330000</v>
      </c>
      <c r="I77" s="133" t="str">
        <f>'ADU-60'!$B$7</f>
        <v>Néant</v>
      </c>
      <c r="J77" s="134">
        <f>'ADU-60'!$B$18</f>
        <v>0</v>
      </c>
      <c r="K77" s="134">
        <f>'ADU-60'!$B$21</f>
        <v>0</v>
      </c>
      <c r="L77" s="134">
        <f>'ADU-60'!$B$22</f>
        <v>0</v>
      </c>
      <c r="M77" s="135" t="e">
        <f>'ADU-60'!$B$24</f>
        <v>#DIV/0!</v>
      </c>
      <c r="N77" s="135">
        <f>'ADU-60'!$B$19/1000</f>
        <v>0</v>
      </c>
      <c r="O77" s="136">
        <f t="shared" si="65"/>
        <v>0</v>
      </c>
      <c r="P77" s="137" t="str">
        <f>'ADU-60'!$B$5</f>
        <v>A faire</v>
      </c>
      <c r="Q77" s="140">
        <f>'ADU-60'!$B$16</f>
        <v>2022</v>
      </c>
      <c r="R77" s="283" t="str">
        <f t="shared" si="66"/>
        <v/>
      </c>
      <c r="S77" s="138">
        <f t="shared" si="67"/>
        <v>0</v>
      </c>
      <c r="T77" s="138">
        <f t="shared" si="68"/>
        <v>0</v>
      </c>
      <c r="U77" s="138">
        <f t="shared" si="69"/>
        <v>0</v>
      </c>
      <c r="V77" s="138">
        <f t="shared" si="70"/>
        <v>0</v>
      </c>
      <c r="W77" s="138">
        <f t="shared" si="71"/>
        <v>0</v>
      </c>
      <c r="X77" s="138">
        <f t="shared" si="72"/>
        <v>0</v>
      </c>
      <c r="Y77" s="138">
        <f t="shared" si="73"/>
        <v>0</v>
      </c>
      <c r="AA77" s="287">
        <f>IF(('Synthèse PER'!P77="A faire")*AND('Synthèse PER'!F77="Agriculture"),'Synthèse PER'!H77,0)</f>
        <v>0</v>
      </c>
      <c r="AB77" s="287">
        <f>IF(('Synthèse PER'!P77="A faire")*AND('Synthèse PER'!F77="Industrie"),'Synthèse PER'!H77,0)</f>
        <v>0</v>
      </c>
      <c r="AC77" s="287">
        <f>IF(('Synthèse PER'!P77="A faire")*AND('Synthèse PER'!F77="Citoyen"),'Synthèse PER'!H77,0)</f>
        <v>0</v>
      </c>
      <c r="AD77" s="287">
        <f>IF(('Synthèse PER'!P77="A faire")*AND('Synthèse PER'!F77="IDELUX"),'Synthèse PER'!H77,0)</f>
        <v>330000</v>
      </c>
      <c r="AE77" s="290">
        <f>IF(('Synthèse PER'!P77="A faire")*AND('Synthèse PER'!F77="AC MESSANCY"),'Synthèse PER'!H77,0)</f>
        <v>0</v>
      </c>
      <c r="AF77" s="287">
        <f>IF(('Synthèse PER'!P77="A faire")*AND('Synthèse PER'!F77="Tertiaire"),'Synthèse PER'!H77,0)</f>
        <v>0</v>
      </c>
      <c r="AG77" s="288"/>
      <c r="AH77" s="290">
        <f>IF(('Synthèse PER'!P77="A faire")*AND('Synthèse PER'!F77="Agriculture"),'Synthèse PER'!J77,0)</f>
        <v>0</v>
      </c>
      <c r="AI77" s="290">
        <f>IF(('Synthèse PER'!P77="A faire")*AND('Synthèse PER'!F77="Industrie"),'Synthèse PER'!J77,0)</f>
        <v>0</v>
      </c>
      <c r="AJ77" s="290">
        <f>IF(('Synthèse PER'!P77="A faire")*AND('Synthèse PER'!F77="Citoyen"),'Synthèse PER'!J77,0)</f>
        <v>0</v>
      </c>
      <c r="AK77" s="290">
        <f>IF(('Synthèse PER'!P77="A faire")*AND('Synthèse PER'!F77="IDELUX"),'Synthèse PER'!J77,0)</f>
        <v>0</v>
      </c>
      <c r="AL77" s="290">
        <f>IF(('Synthèse PER'!P77="A faire")*AND('Synthèse PER'!F77="AC MESSANCY"),'Synthèse PER'!J77,0)</f>
        <v>0</v>
      </c>
      <c r="AM77" s="290">
        <f>IF(('Synthèse PER'!P77="A faire")*AND('Synthèse PER'!F77="Tertiaire"),'Synthèse PER'!J77,0)</f>
        <v>0</v>
      </c>
      <c r="AN77" s="288"/>
      <c r="AO77" s="290">
        <f>IF(('Synthèse PER'!P77="A faire")*AND('Synthèse PER'!E77="Territoire"),'Synthèse PER'!H77,0)</f>
        <v>0</v>
      </c>
      <c r="AP77" s="290">
        <f>IF(('Synthèse PER'!P77="A faire")*AND('Synthèse PER'!E77="Agriculture"),'Synthèse PER'!H77,0)</f>
        <v>0</v>
      </c>
      <c r="AQ77" s="290">
        <f>IF(('Synthèse PER'!P77="A faire")*AND('Synthèse PER'!E77="Industrie"),'Synthèse PER'!H77,0)</f>
        <v>0</v>
      </c>
      <c r="AR77" s="290">
        <f>IF(('Synthèse PER'!P77="A faire")*AND('Synthèse PER'!E77="Logement"),'Synthèse PER'!H77,0)</f>
        <v>0</v>
      </c>
      <c r="AS77" s="290">
        <f>IF(('Synthèse PER'!P77="A faire")*AND('Synthèse PER'!E77="Tertiaire"),'Synthèse PER'!H77,0)</f>
        <v>0</v>
      </c>
      <c r="AT77" s="290">
        <f>IF(('Synthèse PER'!P77="A faire")*AND('Synthèse PER'!E77="Transport"),'Synthèse PER'!H77,0)</f>
        <v>330000</v>
      </c>
      <c r="AU77" s="290">
        <f>IF(('Synthèse PER'!P77="A faire")*AND('Synthèse PER'!E77="Communal"),'Synthèse PER'!H77,0)</f>
        <v>0</v>
      </c>
      <c r="AV77" s="288"/>
      <c r="AW77" s="290">
        <f>IF(('Synthèse PER'!P77="A faire")*AND('Synthèse PER'!E77="Territoire"),'Synthèse PER'!J77,0)</f>
        <v>0</v>
      </c>
      <c r="AX77" s="290">
        <f>IF(('Synthèse PER'!P77="A faire")*AND('Synthèse PER'!E77="Agriculture"),'Synthèse PER'!J77,0)</f>
        <v>0</v>
      </c>
      <c r="AY77" s="290">
        <f>IF(('Synthèse PER'!P77="A faire")*AND('Synthèse PER'!E77="Industrie"),'Synthèse PER'!J77,0)</f>
        <v>0</v>
      </c>
      <c r="AZ77" s="290">
        <f>IF(('Synthèse PER'!P77="A faire")*AND('Synthèse PER'!E77="Logement"),'Synthèse PER'!J77,0)</f>
        <v>0</v>
      </c>
      <c r="BA77" s="290">
        <f>IF(('Synthèse PER'!P77="A faire")*AND('Synthèse PER'!E77="Tertiaire"),'Synthèse PER'!J77,0)</f>
        <v>0</v>
      </c>
      <c r="BB77" s="290">
        <f>IF(('Synthèse PER'!P77="A faire")*AND('Synthèse PER'!E77="Transport"),'Synthèse PER'!J77,0)</f>
        <v>0</v>
      </c>
      <c r="BC77" s="290">
        <f>IF(('Synthèse PER'!P77="A faire")*AND('Synthèse PER'!E77="Communal"),'Synthèse PER'!J77,0)</f>
        <v>0</v>
      </c>
      <c r="BD77" s="288"/>
      <c r="BE77" s="290">
        <f>IF(('Synthèse PER'!P77="A faire")*AND('Synthèse PER'!E77="Territoire"),'Synthèse PER'!K77,0)</f>
        <v>0</v>
      </c>
      <c r="BF77" s="290">
        <f>IF(('Synthèse PER'!P77="A faire")*AND('Synthèse PER'!E77="Agriculture"),'Synthèse PER'!K77,0)</f>
        <v>0</v>
      </c>
      <c r="BG77" s="290">
        <f>IF(('Synthèse PER'!P77="A faire")*AND('Synthèse PER'!E77="Industrie"),'Synthèse PER'!K77,0)</f>
        <v>0</v>
      </c>
      <c r="BH77" s="290">
        <f>IF(('Synthèse PER'!P77="A faire")*AND('Synthèse PER'!E77="Logement"),'Synthèse PER'!K77,0)</f>
        <v>0</v>
      </c>
      <c r="BI77" s="290">
        <f>IF(('Synthèse PER'!P77="A faire")*AND('Synthèse PER'!E77="Tertiaire"),'Synthèse PER'!K77,0)</f>
        <v>0</v>
      </c>
      <c r="BJ77" s="290">
        <f>IF(('Synthèse PER'!P77="A faire")*AND('Synthèse PER'!E77="Transport"),'Synthèse PER'!K77,0)</f>
        <v>0</v>
      </c>
      <c r="BK77" s="290">
        <f>IF(('Synthèse PER'!P77="A faire")*AND('Synthèse PER'!E77="Communal"),'Synthèse PER'!K77,0)</f>
        <v>0</v>
      </c>
      <c r="BL77" s="288"/>
      <c r="BM77" s="290">
        <f>IF(('Synthèse PER'!P77="A faire")*AND('Synthèse PER'!E77="Territoire"),'Synthèse PER'!L77,0)</f>
        <v>0</v>
      </c>
      <c r="BN77" s="290">
        <f>IF(('Synthèse PER'!P77="A faire")*AND('Synthèse PER'!E77="Agriculture"),'Synthèse PER'!L77,0)</f>
        <v>0</v>
      </c>
      <c r="BO77" s="290">
        <f>IF(('Synthèse PER'!P77="A faire")*AND('Synthèse PER'!E77="Industrie"),'Synthèse PER'!L77,0)</f>
        <v>0</v>
      </c>
      <c r="BP77" s="290">
        <f>IF(('Synthèse PER'!P77="A faire")*AND('Synthèse PER'!E77="Logement"),'Synthèse PER'!L77,0)</f>
        <v>0</v>
      </c>
      <c r="BQ77" s="290">
        <f>IF(('Synthèse PER'!P77="A faire")*AND('Synthèse PER'!E77="Tertiaire"),'Synthèse PER'!L77,0)</f>
        <v>0</v>
      </c>
      <c r="BR77" s="290">
        <f>IF(('Synthèse PER'!P77="A faire")*AND('Synthèse PER'!E77="Transport"),'Synthèse PER'!L77,0)</f>
        <v>0</v>
      </c>
      <c r="BS77" s="290">
        <f>IF(('Synthèse PER'!P77="A faire")*AND('Synthèse PER'!E77="Communal"),'Synthèse PER'!L77,0)</f>
        <v>0</v>
      </c>
      <c r="BT77" s="290"/>
    </row>
    <row r="78" spans="1:72" s="139" customFormat="1" x14ac:dyDescent="0.25">
      <c r="A78" s="369" t="s">
        <v>251</v>
      </c>
      <c r="B78" s="565" t="str">
        <f>'ADU-61'!B$3:E$3</f>
        <v>Mobilité</v>
      </c>
      <c r="C78" s="419" t="str">
        <f>'ADU-61'!$B$8</f>
        <v>Citoyens</v>
      </c>
      <c r="D78" s="133" t="str">
        <f>'ADU-61'!$B$9</f>
        <v>Ecopaturage</v>
      </c>
      <c r="E78" s="133" t="str">
        <f>'ADU-61'!$B$4</f>
        <v>Transport</v>
      </c>
      <c r="F78" s="133" t="str">
        <f>'ADU-61'!$B$12</f>
        <v>Citoyen</v>
      </c>
      <c r="G78" s="133" t="str">
        <f>'ADU-61'!$B$6</f>
        <v>Néant</v>
      </c>
      <c r="H78" s="134">
        <f>'ADU-61'!$B$17</f>
        <v>0</v>
      </c>
      <c r="I78" s="133" t="str">
        <f>'ADU-61'!$B$7</f>
        <v>Néant</v>
      </c>
      <c r="J78" s="134">
        <f>'ADU-61'!$B$18</f>
        <v>0</v>
      </c>
      <c r="K78" s="134">
        <f>'ADU-61'!$B$21</f>
        <v>640</v>
      </c>
      <c r="L78" s="134">
        <f>'ADU-61'!$B$22</f>
        <v>0</v>
      </c>
      <c r="M78" s="135">
        <f>'ADU-61'!$B$24</f>
        <v>0</v>
      </c>
      <c r="N78" s="135">
        <f>'ADU-61'!$B$19/1000</f>
        <v>4</v>
      </c>
      <c r="O78" s="136">
        <f>IF(H78=0,0,N78/(H78-J78)*1000)</f>
        <v>0</v>
      </c>
      <c r="P78" s="137" t="str">
        <f>'ADU-61'!$B$5</f>
        <v>A faire</v>
      </c>
      <c r="Q78" s="140">
        <f>'ADU-61'!$B$16</f>
        <v>2030</v>
      </c>
      <c r="R78" s="283" t="str">
        <f t="shared" ref="R78" si="74">IF(P78="terminé", N78,"")</f>
        <v/>
      </c>
      <c r="S78" s="138">
        <f t="shared" ref="S78" si="75">IF((P78="Terminé")*AND(E78="Territoire"),N78,0)</f>
        <v>0</v>
      </c>
      <c r="T78" s="138">
        <f t="shared" ref="T78" si="76">IF((P78="Terminé")*AND(E78="Agriculture"),N78,0)</f>
        <v>0</v>
      </c>
      <c r="U78" s="138">
        <f t="shared" ref="U78" si="77">IF((P78="Terminé")*AND(E78="Industrie"), N78,0)</f>
        <v>0</v>
      </c>
      <c r="V78" s="138">
        <f t="shared" ref="V78" si="78">IF((P78="Terminé")*AND(E78="Logement"),N78,0)</f>
        <v>0</v>
      </c>
      <c r="W78" s="138">
        <f t="shared" ref="W78" si="79">IF((P78="Terminé")*AND(E78="Tertiaire"),N78,0)</f>
        <v>0</v>
      </c>
      <c r="X78" s="138">
        <f t="shared" ref="X78" si="80">IF((P78="Terminé")*AND(E78="Transport"),N78,0)</f>
        <v>0</v>
      </c>
      <c r="Y78" s="138">
        <f t="shared" ref="Y78" si="81">IF((P78="Terminé")*AND(E78="Communal"),N78,0)</f>
        <v>0</v>
      </c>
      <c r="AA78" s="287">
        <f>IF(('Synthèse PER'!P78="A faire")*AND('Synthèse PER'!F78="Agriculture"),'Synthèse PER'!H78,0)</f>
        <v>0</v>
      </c>
      <c r="AB78" s="287">
        <f>IF(('Synthèse PER'!P78="A faire")*AND('Synthèse PER'!F78="Industrie"),'Synthèse PER'!H78,0)</f>
        <v>0</v>
      </c>
      <c r="AC78" s="287">
        <f>IF(('Synthèse PER'!P78="A faire")*AND('Synthèse PER'!F78="Citoyen"),'Synthèse PER'!H78,0)</f>
        <v>0</v>
      </c>
      <c r="AD78" s="287">
        <f>IF(('Synthèse PER'!P78="A faire")*AND('Synthèse PER'!F78="IDELUX"),'Synthèse PER'!H78,0)</f>
        <v>0</v>
      </c>
      <c r="AE78" s="290">
        <f>IF(('Synthèse PER'!P78="A faire")*AND('Synthèse PER'!F78="AC MESSANCY"),'Synthèse PER'!H78,0)</f>
        <v>0</v>
      </c>
      <c r="AF78" s="287">
        <f>IF(('Synthèse PER'!P78="A faire")*AND('Synthèse PER'!F78="Tertiaire"),'Synthèse PER'!H78,0)</f>
        <v>0</v>
      </c>
      <c r="AG78" s="288"/>
      <c r="AH78" s="290">
        <f>IF(('Synthèse PER'!P78="A faire")*AND('Synthèse PER'!F78="Agriculture"),'Synthèse PER'!J78,0)</f>
        <v>0</v>
      </c>
      <c r="AI78" s="290">
        <f>IF(('Synthèse PER'!P78="A faire")*AND('Synthèse PER'!F78="Industrie"),'Synthèse PER'!J78,0)</f>
        <v>0</v>
      </c>
      <c r="AJ78" s="290">
        <f>IF(('Synthèse PER'!P78="A faire")*AND('Synthèse PER'!F78="Citoyen"),'Synthèse PER'!J78,0)</f>
        <v>0</v>
      </c>
      <c r="AK78" s="290">
        <f>IF(('Synthèse PER'!P78="A faire")*AND('Synthèse PER'!F78="IDELUX"),'Synthèse PER'!J78,0)</f>
        <v>0</v>
      </c>
      <c r="AL78" s="290">
        <f>IF(('Synthèse PER'!P78="A faire")*AND('Synthèse PER'!F78="AC MESSANCY"),'Synthèse PER'!J78,0)</f>
        <v>0</v>
      </c>
      <c r="AM78" s="290">
        <f>IF(('Synthèse PER'!P78="A faire")*AND('Synthèse PER'!F78="Tertiaire"),'Synthèse PER'!J78,0)</f>
        <v>0</v>
      </c>
      <c r="AN78" s="288"/>
      <c r="AO78" s="290">
        <f>IF(('Synthèse PER'!P78="A faire")*AND('Synthèse PER'!E78="Territoire"),'Synthèse PER'!H78,0)</f>
        <v>0</v>
      </c>
      <c r="AP78" s="290">
        <f>IF(('Synthèse PER'!P78="A faire")*AND('Synthèse PER'!E78="Agriculture"),'Synthèse PER'!H78,0)</f>
        <v>0</v>
      </c>
      <c r="AQ78" s="290">
        <f>IF(('Synthèse PER'!P78="A faire")*AND('Synthèse PER'!E78="Industrie"),'Synthèse PER'!H78,0)</f>
        <v>0</v>
      </c>
      <c r="AR78" s="290">
        <f>IF(('Synthèse PER'!P78="A faire")*AND('Synthèse PER'!E78="Logement"),'Synthèse PER'!H78,0)</f>
        <v>0</v>
      </c>
      <c r="AS78" s="290">
        <f>IF(('Synthèse PER'!P78="A faire")*AND('Synthèse PER'!E78="Tertiaire"),'Synthèse PER'!H78,0)</f>
        <v>0</v>
      </c>
      <c r="AT78" s="290">
        <f>IF(('Synthèse PER'!P78="A faire")*AND('Synthèse PER'!E78="Transport"),'Synthèse PER'!H78,0)</f>
        <v>0</v>
      </c>
      <c r="AU78" s="290">
        <f>IF(('Synthèse PER'!P78="A faire")*AND('Synthèse PER'!E78="Communal"),'Synthèse PER'!H78,0)</f>
        <v>0</v>
      </c>
      <c r="AV78" s="288"/>
      <c r="AW78" s="290">
        <f>IF(('Synthèse PER'!P78="A faire")*AND('Synthèse PER'!E78="Territoire"),'Synthèse PER'!J78,0)</f>
        <v>0</v>
      </c>
      <c r="AX78" s="290">
        <f>IF(('Synthèse PER'!P78="A faire")*AND('Synthèse PER'!E78="Agriculture"),'Synthèse PER'!J78,0)</f>
        <v>0</v>
      </c>
      <c r="AY78" s="290">
        <f>IF(('Synthèse PER'!P78="A faire")*AND('Synthèse PER'!E78="Industrie"),'Synthèse PER'!J78,0)</f>
        <v>0</v>
      </c>
      <c r="AZ78" s="290">
        <f>IF(('Synthèse PER'!P78="A faire")*AND('Synthèse PER'!E78="Logement"),'Synthèse PER'!J78,0)</f>
        <v>0</v>
      </c>
      <c r="BA78" s="290">
        <f>IF(('Synthèse PER'!P78="A faire")*AND('Synthèse PER'!E78="Tertiaire"),'Synthèse PER'!J78,0)</f>
        <v>0</v>
      </c>
      <c r="BB78" s="290">
        <f>IF(('Synthèse PER'!P78="A faire")*AND('Synthèse PER'!E78="Transport"),'Synthèse PER'!J78,0)</f>
        <v>0</v>
      </c>
      <c r="BC78" s="290">
        <f>IF(('Synthèse PER'!P78="A faire")*AND('Synthèse PER'!E78="Communal"),'Synthèse PER'!J78,0)</f>
        <v>0</v>
      </c>
      <c r="BD78" s="288"/>
      <c r="BE78" s="290">
        <f>IF(('Synthèse PER'!P78="A faire")*AND('Synthèse PER'!E78="Territoire"),'Synthèse PER'!K78,0)</f>
        <v>0</v>
      </c>
      <c r="BF78" s="290">
        <f>IF(('Synthèse PER'!P78="A faire")*AND('Synthèse PER'!E78="Agriculture"),'Synthèse PER'!K78,0)</f>
        <v>0</v>
      </c>
      <c r="BG78" s="290">
        <f>IF(('Synthèse PER'!P78="A faire")*AND('Synthèse PER'!E78="Industrie"),'Synthèse PER'!K78,0)</f>
        <v>0</v>
      </c>
      <c r="BH78" s="290">
        <f>IF(('Synthèse PER'!P78="A faire")*AND('Synthèse PER'!E78="Logement"),'Synthèse PER'!K78,0)</f>
        <v>0</v>
      </c>
      <c r="BI78" s="290">
        <f>IF(('Synthèse PER'!P78="A faire")*AND('Synthèse PER'!E78="Tertiaire"),'Synthèse PER'!K78,0)</f>
        <v>0</v>
      </c>
      <c r="BJ78" s="290">
        <f>IF(('Synthèse PER'!P78="A faire")*AND('Synthèse PER'!E78="Transport"),'Synthèse PER'!K78,0)</f>
        <v>640</v>
      </c>
      <c r="BK78" s="290">
        <f>IF(('Synthèse PER'!P78="A faire")*AND('Synthèse PER'!E78="Communal"),'Synthèse PER'!K78,0)</f>
        <v>0</v>
      </c>
      <c r="BL78" s="288"/>
      <c r="BM78" s="290">
        <f>IF(('Synthèse PER'!P78="A faire")*AND('Synthèse PER'!E78="Territoire"),'Synthèse PER'!L78,0)</f>
        <v>0</v>
      </c>
      <c r="BN78" s="290">
        <f>IF(('Synthèse PER'!P78="A faire")*AND('Synthèse PER'!E78="Agriculture"),'Synthèse PER'!L78,0)</f>
        <v>0</v>
      </c>
      <c r="BO78" s="290">
        <f>IF(('Synthèse PER'!P78="A faire")*AND('Synthèse PER'!E78="Industrie"),'Synthèse PER'!L78,0)</f>
        <v>0</v>
      </c>
      <c r="BP78" s="290">
        <f>IF(('Synthèse PER'!P78="A faire")*AND('Synthèse PER'!E78="Logement"),'Synthèse PER'!L78,0)</f>
        <v>0</v>
      </c>
      <c r="BQ78" s="290">
        <f>IF(('Synthèse PER'!P78="A faire")*AND('Synthèse PER'!E78="Tertiaire"),'Synthèse PER'!L78,0)</f>
        <v>0</v>
      </c>
      <c r="BR78" s="290">
        <f>IF(('Synthèse PER'!P78="A faire")*AND('Synthèse PER'!E78="Transport"),'Synthèse PER'!L78,0)</f>
        <v>0</v>
      </c>
      <c r="BS78" s="290">
        <f>IF(('Synthèse PER'!P78="A faire")*AND('Synthèse PER'!E78="Communal"),'Synthèse PER'!L78,0)</f>
        <v>0</v>
      </c>
      <c r="BT78" s="290"/>
    </row>
    <row r="79" spans="1:72" s="139" customFormat="1" x14ac:dyDescent="0.25">
      <c r="A79" s="369" t="s">
        <v>1038</v>
      </c>
      <c r="B79" s="578" t="str">
        <f>'ADU-62'!B$3:E$3</f>
        <v>Mobilité</v>
      </c>
      <c r="C79" s="419" t="str">
        <f>'ADU-62'!$B$8</f>
        <v>Véhicules communaux</v>
      </c>
      <c r="D79" s="133" t="str">
        <f>'ADU-62'!$B$9</f>
        <v>Véhicules CNG</v>
      </c>
      <c r="E79" s="133" t="str">
        <f>'ADU-62'!$B$4</f>
        <v>Transport</v>
      </c>
      <c r="F79" s="133" t="str">
        <f>'ADU-62'!$B$12</f>
        <v>AC MESSANCY</v>
      </c>
      <c r="G79" s="133" t="str">
        <f>'ADU-62'!$B$6</f>
        <v>Fonds propres</v>
      </c>
      <c r="H79" s="134">
        <f>'ADU-62'!$B$17</f>
        <v>330000</v>
      </c>
      <c r="I79" s="133" t="str">
        <f>'ADU-62'!$B$7</f>
        <v>Néant</v>
      </c>
      <c r="J79" s="134">
        <f>'ADU-62'!$B$18</f>
        <v>0</v>
      </c>
      <c r="K79" s="134">
        <f>'ADU-62'!$B$21</f>
        <v>22073.25</v>
      </c>
      <c r="L79" s="134">
        <f>'ADU-62'!$B$22</f>
        <v>0</v>
      </c>
      <c r="M79" s="135">
        <f>'ADU-62'!$B$24</f>
        <v>1.359111141313581</v>
      </c>
      <c r="N79" s="135">
        <f>'ADU-62'!$B$19/1000</f>
        <v>0</v>
      </c>
      <c r="O79" s="136">
        <f t="shared" ref="O79:O82" si="82">IF(H79=0,0,N79/(H79-J79)*1000)</f>
        <v>0</v>
      </c>
      <c r="P79" s="137" t="str">
        <f>'ADU-62'!$B$5</f>
        <v>A faire</v>
      </c>
      <c r="Q79" s="140">
        <f>'ADU-62'!$B$16</f>
        <v>2030</v>
      </c>
      <c r="R79" s="283" t="str">
        <f t="shared" ref="R79:R82" si="83">IF(P79="terminé", N79,"")</f>
        <v/>
      </c>
      <c r="S79" s="138">
        <f t="shared" ref="S79:S82" si="84">IF((P79="Terminé")*AND(E79="Territoire"),N79,0)</f>
        <v>0</v>
      </c>
      <c r="T79" s="138">
        <f t="shared" ref="T79:T82" si="85">IF((P79="Terminé")*AND(E79="Agriculture"),N79,0)</f>
        <v>0</v>
      </c>
      <c r="U79" s="138">
        <f t="shared" ref="U79:U82" si="86">IF((P79="Terminé")*AND(E79="Industrie"), N79,0)</f>
        <v>0</v>
      </c>
      <c r="V79" s="138">
        <f t="shared" ref="V79:V82" si="87">IF((P79="Terminé")*AND(E79="Logement"),N79,0)</f>
        <v>0</v>
      </c>
      <c r="W79" s="138">
        <f t="shared" ref="W79:W82" si="88">IF((P79="Terminé")*AND(E79="Tertiaire"),N79,0)</f>
        <v>0</v>
      </c>
      <c r="X79" s="138">
        <f t="shared" ref="X79:X82" si="89">IF((P79="Terminé")*AND(E79="Transport"),N79,0)</f>
        <v>0</v>
      </c>
      <c r="Y79" s="138">
        <f t="shared" ref="Y79:Y82" si="90">IF((P79="Terminé")*AND(E79="Communal"),N79,0)</f>
        <v>0</v>
      </c>
      <c r="AA79" s="287">
        <f>IF(('Synthèse PER'!P79="A faire")*AND('Synthèse PER'!F79="Agriculture"),'Synthèse PER'!H79,0)</f>
        <v>0</v>
      </c>
      <c r="AB79" s="287">
        <f>IF(('Synthèse PER'!P79="A faire")*AND('Synthèse PER'!F79="Industrie"),'Synthèse PER'!H79,0)</f>
        <v>0</v>
      </c>
      <c r="AC79" s="287">
        <f>IF(('Synthèse PER'!P79="A faire")*AND('Synthèse PER'!F79="Citoyen"),'Synthèse PER'!H79,0)</f>
        <v>0</v>
      </c>
      <c r="AD79" s="287">
        <f>IF(('Synthèse PER'!P79="A faire")*AND('Synthèse PER'!F79="IDELUX"),'Synthèse PER'!H79,0)</f>
        <v>0</v>
      </c>
      <c r="AE79" s="290">
        <f>IF(('Synthèse PER'!P79="A faire")*AND('Synthèse PER'!F79="AC MESSANCY"),'Synthèse PER'!H79,0)</f>
        <v>330000</v>
      </c>
      <c r="AF79" s="287">
        <f>IF(('Synthèse PER'!P79="A faire")*AND('Synthèse PER'!F79="Tertiaire"),'Synthèse PER'!H79,0)</f>
        <v>0</v>
      </c>
      <c r="AG79" s="288"/>
      <c r="AH79" s="290">
        <f>IF(('Synthèse PER'!P79="A faire")*AND('Synthèse PER'!F79="Agriculture"),'Synthèse PER'!J79,0)</f>
        <v>0</v>
      </c>
      <c r="AI79" s="290">
        <f>IF(('Synthèse PER'!P79="A faire")*AND('Synthèse PER'!F79="Industrie"),'Synthèse PER'!J79,0)</f>
        <v>0</v>
      </c>
      <c r="AJ79" s="290">
        <f>IF(('Synthèse PER'!P79="A faire")*AND('Synthèse PER'!F79="Citoyen"),'Synthèse PER'!J79,0)</f>
        <v>0</v>
      </c>
      <c r="AK79" s="290">
        <f>IF(('Synthèse PER'!P79="A faire")*AND('Synthèse PER'!F79="IDELUX"),'Synthèse PER'!J79,0)</f>
        <v>0</v>
      </c>
      <c r="AL79" s="290">
        <f>IF(('Synthèse PER'!P79="A faire")*AND('Synthèse PER'!F79="AC MESSANCY"),'Synthèse PER'!J79,0)</f>
        <v>0</v>
      </c>
      <c r="AM79" s="290">
        <f>IF(('Synthèse PER'!P79="A faire")*AND('Synthèse PER'!F79="Tertiaire"),'Synthèse PER'!J79,0)</f>
        <v>0</v>
      </c>
      <c r="AN79" s="288"/>
      <c r="AO79" s="290">
        <f>IF(('Synthèse PER'!P79="A faire")*AND('Synthèse PER'!E79="Territoire"),'Synthèse PER'!H79,0)</f>
        <v>0</v>
      </c>
      <c r="AP79" s="290">
        <f>IF(('Synthèse PER'!P79="A faire")*AND('Synthèse PER'!E79="Agriculture"),'Synthèse PER'!H79,0)</f>
        <v>0</v>
      </c>
      <c r="AQ79" s="290">
        <f>IF(('Synthèse PER'!P79="A faire")*AND('Synthèse PER'!E79="Industrie"),'Synthèse PER'!H79,0)</f>
        <v>0</v>
      </c>
      <c r="AR79" s="290">
        <f>IF(('Synthèse PER'!P79="A faire")*AND('Synthèse PER'!E79="Logement"),'Synthèse PER'!H79,0)</f>
        <v>0</v>
      </c>
      <c r="AS79" s="290">
        <f>IF(('Synthèse PER'!P79="A faire")*AND('Synthèse PER'!E79="Tertiaire"),'Synthèse PER'!H79,0)</f>
        <v>0</v>
      </c>
      <c r="AT79" s="290">
        <f>IF(('Synthèse PER'!P79="A faire")*AND('Synthèse PER'!E79="Transport"),'Synthèse PER'!H79,0)</f>
        <v>330000</v>
      </c>
      <c r="AU79" s="290">
        <f>IF(('Synthèse PER'!P79="A faire")*AND('Synthèse PER'!E79="Communal"),'Synthèse PER'!H79,0)</f>
        <v>0</v>
      </c>
      <c r="AV79" s="288"/>
      <c r="AW79" s="290">
        <f>IF(('Synthèse PER'!P79="A faire")*AND('Synthèse PER'!E79="Territoire"),'Synthèse PER'!J79,0)</f>
        <v>0</v>
      </c>
      <c r="AX79" s="290">
        <f>IF(('Synthèse PER'!P79="A faire")*AND('Synthèse PER'!E79="Agriculture"),'Synthèse PER'!J79,0)</f>
        <v>0</v>
      </c>
      <c r="AY79" s="290">
        <f>IF(('Synthèse PER'!P79="A faire")*AND('Synthèse PER'!E79="Industrie"),'Synthèse PER'!J79,0)</f>
        <v>0</v>
      </c>
      <c r="AZ79" s="290">
        <f>IF(('Synthèse PER'!P79="A faire")*AND('Synthèse PER'!E79="Logement"),'Synthèse PER'!J79,0)</f>
        <v>0</v>
      </c>
      <c r="BA79" s="290">
        <f>IF(('Synthèse PER'!P79="A faire")*AND('Synthèse PER'!E79="Tertiaire"),'Synthèse PER'!J79,0)</f>
        <v>0</v>
      </c>
      <c r="BB79" s="290">
        <f>IF(('Synthèse PER'!P79="A faire")*AND('Synthèse PER'!E79="Transport"),'Synthèse PER'!J79,0)</f>
        <v>0</v>
      </c>
      <c r="BC79" s="290">
        <f>IF(('Synthèse PER'!P79="A faire")*AND('Synthèse PER'!E79="Communal"),'Synthèse PER'!J79,0)</f>
        <v>0</v>
      </c>
      <c r="BD79" s="288"/>
      <c r="BE79" s="290">
        <f>IF(('Synthèse PER'!P79="A faire")*AND('Synthèse PER'!E79="Territoire"),'Synthèse PER'!K79,0)</f>
        <v>0</v>
      </c>
      <c r="BF79" s="290">
        <f>IF(('Synthèse PER'!P79="A faire")*AND('Synthèse PER'!E79="Agriculture"),'Synthèse PER'!K79,0)</f>
        <v>0</v>
      </c>
      <c r="BG79" s="290">
        <f>IF(('Synthèse PER'!P79="A faire")*AND('Synthèse PER'!E79="Industrie"),'Synthèse PER'!K79,0)</f>
        <v>0</v>
      </c>
      <c r="BH79" s="290">
        <f>IF(('Synthèse PER'!P79="A faire")*AND('Synthèse PER'!E79="Logement"),'Synthèse PER'!K79,0)</f>
        <v>0</v>
      </c>
      <c r="BI79" s="290">
        <f>IF(('Synthèse PER'!P79="A faire")*AND('Synthèse PER'!E79="Tertiaire"),'Synthèse PER'!K79,0)</f>
        <v>0</v>
      </c>
      <c r="BJ79" s="290">
        <f>IF(('Synthèse PER'!P79="A faire")*AND('Synthèse PER'!E79="Transport"),'Synthèse PER'!K79,0)</f>
        <v>22073.25</v>
      </c>
      <c r="BK79" s="290">
        <f>IF(('Synthèse PER'!P79="A faire")*AND('Synthèse PER'!E79="Communal"),'Synthèse PER'!K79,0)</f>
        <v>0</v>
      </c>
      <c r="BL79" s="288"/>
      <c r="BM79" s="290">
        <f>IF(('Synthèse PER'!P79="A faire")*AND('Synthèse PER'!E79="Territoire"),'Synthèse PER'!L79,0)</f>
        <v>0</v>
      </c>
      <c r="BN79" s="290">
        <f>IF(('Synthèse PER'!P79="A faire")*AND('Synthèse PER'!E79="Agriculture"),'Synthèse PER'!L79,0)</f>
        <v>0</v>
      </c>
      <c r="BO79" s="290">
        <f>IF(('Synthèse PER'!P79="A faire")*AND('Synthèse PER'!E79="Industrie"),'Synthèse PER'!L79,0)</f>
        <v>0</v>
      </c>
      <c r="BP79" s="290">
        <f>IF(('Synthèse PER'!P79="A faire")*AND('Synthèse PER'!E79="Logement"),'Synthèse PER'!L79,0)</f>
        <v>0</v>
      </c>
      <c r="BQ79" s="290">
        <f>IF(('Synthèse PER'!P79="A faire")*AND('Synthèse PER'!E79="Tertiaire"),'Synthèse PER'!L79,0)</f>
        <v>0</v>
      </c>
      <c r="BR79" s="290">
        <f>IF(('Synthèse PER'!P79="A faire")*AND('Synthèse PER'!E79="Transport"),'Synthèse PER'!L79,0)</f>
        <v>0</v>
      </c>
      <c r="BS79" s="290">
        <f>IF(('Synthèse PER'!P79="A faire")*AND('Synthèse PER'!E79="Communal"),'Synthèse PER'!L79,0)</f>
        <v>0</v>
      </c>
      <c r="BT79" s="290"/>
    </row>
    <row r="80" spans="1:72" s="139" customFormat="1" x14ac:dyDescent="0.25">
      <c r="A80" s="369" t="s">
        <v>1039</v>
      </c>
      <c r="B80" s="578" t="str">
        <f>'ADU-63'!B$3:E$3</f>
        <v>Mobilité</v>
      </c>
      <c r="C80" s="419" t="str">
        <f>'ADU-63'!$B$8</f>
        <v>Véhicules communaux</v>
      </c>
      <c r="D80" s="133" t="str">
        <f>'ADU-63'!$B$9</f>
        <v xml:space="preserve">Modernisation du parc </v>
      </c>
      <c r="E80" s="133" t="str">
        <f>'ADU-63'!$B$4</f>
        <v>Transport</v>
      </c>
      <c r="F80" s="133" t="str">
        <f>'ADU-63'!$B$12</f>
        <v>AC MESSANCY</v>
      </c>
      <c r="G80" s="133" t="str">
        <f>'ADU-63'!$B$6</f>
        <v>Fonds propres</v>
      </c>
      <c r="H80" s="134">
        <f>'ADU-63'!$B$17</f>
        <v>150000</v>
      </c>
      <c r="I80" s="133" t="str">
        <f>'ADU-63'!$B$7</f>
        <v>Néant</v>
      </c>
      <c r="J80" s="134">
        <f>'ADU-63'!$B$18</f>
        <v>0</v>
      </c>
      <c r="K80" s="134">
        <f>'ADU-63'!$B$21</f>
        <v>5576.4000000000005</v>
      </c>
      <c r="L80" s="134">
        <f>'ADU-63'!$B$22</f>
        <v>0</v>
      </c>
      <c r="M80" s="135">
        <f>'ADU-63'!$B$24</f>
        <v>26.899074671831286</v>
      </c>
      <c r="N80" s="135">
        <f>'ADU-63'!$B$19/1000</f>
        <v>34.852499999999999</v>
      </c>
      <c r="O80" s="136">
        <f t="shared" si="82"/>
        <v>0.23234999999999997</v>
      </c>
      <c r="P80" s="137" t="str">
        <f>'ADU-63'!$B$5</f>
        <v>A faire</v>
      </c>
      <c r="Q80" s="140">
        <f>'ADU-63'!$B$16</f>
        <v>2030</v>
      </c>
      <c r="R80" s="283" t="str">
        <f t="shared" si="83"/>
        <v/>
      </c>
      <c r="S80" s="138">
        <f t="shared" si="84"/>
        <v>0</v>
      </c>
      <c r="T80" s="138">
        <f t="shared" si="85"/>
        <v>0</v>
      </c>
      <c r="U80" s="138">
        <f t="shared" si="86"/>
        <v>0</v>
      </c>
      <c r="V80" s="138">
        <f t="shared" si="87"/>
        <v>0</v>
      </c>
      <c r="W80" s="138">
        <f t="shared" si="88"/>
        <v>0</v>
      </c>
      <c r="X80" s="138">
        <f t="shared" si="89"/>
        <v>0</v>
      </c>
      <c r="Y80" s="138">
        <f t="shared" si="90"/>
        <v>0</v>
      </c>
      <c r="AA80" s="287">
        <f>IF(('Synthèse PER'!P80="A faire")*AND('Synthèse PER'!F80="Agriculture"),'Synthèse PER'!H80,0)</f>
        <v>0</v>
      </c>
      <c r="AB80" s="287">
        <f>IF(('Synthèse PER'!P80="A faire")*AND('Synthèse PER'!F80="Industrie"),'Synthèse PER'!H80,0)</f>
        <v>0</v>
      </c>
      <c r="AC80" s="287">
        <f>IF(('Synthèse PER'!P80="A faire")*AND('Synthèse PER'!F80="Citoyen"),'Synthèse PER'!H80,0)</f>
        <v>0</v>
      </c>
      <c r="AD80" s="287">
        <f>IF(('Synthèse PER'!P80="A faire")*AND('Synthèse PER'!F80="IDELUX"),'Synthèse PER'!H80,0)</f>
        <v>0</v>
      </c>
      <c r="AE80" s="290">
        <f>IF(('Synthèse PER'!P80="A faire")*AND('Synthèse PER'!F80="AC MESSANCY"),'Synthèse PER'!H80,0)</f>
        <v>150000</v>
      </c>
      <c r="AF80" s="287">
        <f>IF(('Synthèse PER'!P80="A faire")*AND('Synthèse PER'!F80="Tertiaire"),'Synthèse PER'!H80,0)</f>
        <v>0</v>
      </c>
      <c r="AG80" s="288"/>
      <c r="AH80" s="290">
        <f>IF(('Synthèse PER'!P80="A faire")*AND('Synthèse PER'!F80="Agriculture"),'Synthèse PER'!J80,0)</f>
        <v>0</v>
      </c>
      <c r="AI80" s="290">
        <f>IF(('Synthèse PER'!P80="A faire")*AND('Synthèse PER'!F80="Industrie"),'Synthèse PER'!J80,0)</f>
        <v>0</v>
      </c>
      <c r="AJ80" s="290">
        <f>IF(('Synthèse PER'!P80="A faire")*AND('Synthèse PER'!F80="Citoyen"),'Synthèse PER'!J80,0)</f>
        <v>0</v>
      </c>
      <c r="AK80" s="290">
        <f>IF(('Synthèse PER'!P80="A faire")*AND('Synthèse PER'!F80="IDELUX"),'Synthèse PER'!J80,0)</f>
        <v>0</v>
      </c>
      <c r="AL80" s="290">
        <f>IF(('Synthèse PER'!P80="A faire")*AND('Synthèse PER'!F80="AC MESSANCY"),'Synthèse PER'!J80,0)</f>
        <v>0</v>
      </c>
      <c r="AM80" s="290">
        <f>IF(('Synthèse PER'!P80="A faire")*AND('Synthèse PER'!F80="Tertiaire"),'Synthèse PER'!J80,0)</f>
        <v>0</v>
      </c>
      <c r="AN80" s="288"/>
      <c r="AO80" s="290">
        <f>IF(('Synthèse PER'!P80="A faire")*AND('Synthèse PER'!E80="Territoire"),'Synthèse PER'!H80,0)</f>
        <v>0</v>
      </c>
      <c r="AP80" s="290">
        <f>IF(('Synthèse PER'!P80="A faire")*AND('Synthèse PER'!E80="Agriculture"),'Synthèse PER'!H80,0)</f>
        <v>0</v>
      </c>
      <c r="AQ80" s="290">
        <f>IF(('Synthèse PER'!P80="A faire")*AND('Synthèse PER'!E80="Industrie"),'Synthèse PER'!H80,0)</f>
        <v>0</v>
      </c>
      <c r="AR80" s="290">
        <f>IF(('Synthèse PER'!P80="A faire")*AND('Synthèse PER'!E80="Logement"),'Synthèse PER'!H80,0)</f>
        <v>0</v>
      </c>
      <c r="AS80" s="290">
        <f>IF(('Synthèse PER'!P80="A faire")*AND('Synthèse PER'!E80="Tertiaire"),'Synthèse PER'!H80,0)</f>
        <v>0</v>
      </c>
      <c r="AT80" s="290">
        <f>IF(('Synthèse PER'!P80="A faire")*AND('Synthèse PER'!E80="Transport"),'Synthèse PER'!H80,0)</f>
        <v>150000</v>
      </c>
      <c r="AU80" s="290">
        <f>IF(('Synthèse PER'!P80="A faire")*AND('Synthèse PER'!E80="Communal"),'Synthèse PER'!H80,0)</f>
        <v>0</v>
      </c>
      <c r="AV80" s="288"/>
      <c r="AW80" s="290">
        <f>IF(('Synthèse PER'!P80="A faire")*AND('Synthèse PER'!E80="Territoire"),'Synthèse PER'!J80,0)</f>
        <v>0</v>
      </c>
      <c r="AX80" s="290">
        <f>IF(('Synthèse PER'!P80="A faire")*AND('Synthèse PER'!E80="Agriculture"),'Synthèse PER'!J80,0)</f>
        <v>0</v>
      </c>
      <c r="AY80" s="290">
        <f>IF(('Synthèse PER'!P80="A faire")*AND('Synthèse PER'!E80="Industrie"),'Synthèse PER'!J80,0)</f>
        <v>0</v>
      </c>
      <c r="AZ80" s="290">
        <f>IF(('Synthèse PER'!P80="A faire")*AND('Synthèse PER'!E80="Logement"),'Synthèse PER'!J80,0)</f>
        <v>0</v>
      </c>
      <c r="BA80" s="290">
        <f>IF(('Synthèse PER'!P80="A faire")*AND('Synthèse PER'!E80="Tertiaire"),'Synthèse PER'!J80,0)</f>
        <v>0</v>
      </c>
      <c r="BB80" s="290">
        <f>IF(('Synthèse PER'!P80="A faire")*AND('Synthèse PER'!E80="Transport"),'Synthèse PER'!J80,0)</f>
        <v>0</v>
      </c>
      <c r="BC80" s="290">
        <f>IF(('Synthèse PER'!P80="A faire")*AND('Synthèse PER'!E80="Communal"),'Synthèse PER'!J80,0)</f>
        <v>0</v>
      </c>
      <c r="BD80" s="288"/>
      <c r="BE80" s="290">
        <f>IF(('Synthèse PER'!P80="A faire")*AND('Synthèse PER'!E80="Territoire"),'Synthèse PER'!K80,0)</f>
        <v>0</v>
      </c>
      <c r="BF80" s="290">
        <f>IF(('Synthèse PER'!P80="A faire")*AND('Synthèse PER'!E80="Agriculture"),'Synthèse PER'!K80,0)</f>
        <v>0</v>
      </c>
      <c r="BG80" s="290">
        <f>IF(('Synthèse PER'!P80="A faire")*AND('Synthèse PER'!E80="Industrie"),'Synthèse PER'!K80,0)</f>
        <v>0</v>
      </c>
      <c r="BH80" s="290">
        <f>IF(('Synthèse PER'!P80="A faire")*AND('Synthèse PER'!E80="Logement"),'Synthèse PER'!K80,0)</f>
        <v>0</v>
      </c>
      <c r="BI80" s="290">
        <f>IF(('Synthèse PER'!P80="A faire")*AND('Synthèse PER'!E80="Tertiaire"),'Synthèse PER'!K80,0)</f>
        <v>0</v>
      </c>
      <c r="BJ80" s="290">
        <f>IF(('Synthèse PER'!P80="A faire")*AND('Synthèse PER'!E80="Transport"),'Synthèse PER'!K80,0)</f>
        <v>5576.4000000000005</v>
      </c>
      <c r="BK80" s="290">
        <f>IF(('Synthèse PER'!P80="A faire")*AND('Synthèse PER'!E80="Communal"),'Synthèse PER'!K80,0)</f>
        <v>0</v>
      </c>
      <c r="BL80" s="288"/>
      <c r="BM80" s="290">
        <f>IF(('Synthèse PER'!P80="A faire")*AND('Synthèse PER'!E80="Territoire"),'Synthèse PER'!L80,0)</f>
        <v>0</v>
      </c>
      <c r="BN80" s="290">
        <f>IF(('Synthèse PER'!P80="A faire")*AND('Synthèse PER'!E80="Agriculture"),'Synthèse PER'!L80,0)</f>
        <v>0</v>
      </c>
      <c r="BO80" s="290">
        <f>IF(('Synthèse PER'!P80="A faire")*AND('Synthèse PER'!E80="Industrie"),'Synthèse PER'!L80,0)</f>
        <v>0</v>
      </c>
      <c r="BP80" s="290">
        <f>IF(('Synthèse PER'!P80="A faire")*AND('Synthèse PER'!E80="Logement"),'Synthèse PER'!L80,0)</f>
        <v>0</v>
      </c>
      <c r="BQ80" s="290">
        <f>IF(('Synthèse PER'!P80="A faire")*AND('Synthèse PER'!E80="Tertiaire"),'Synthèse PER'!L80,0)</f>
        <v>0</v>
      </c>
      <c r="BR80" s="290">
        <f>IF(('Synthèse PER'!P80="A faire")*AND('Synthèse PER'!E80="Transport"),'Synthèse PER'!L80,0)</f>
        <v>0</v>
      </c>
      <c r="BS80" s="290">
        <f>IF(('Synthèse PER'!P80="A faire")*AND('Synthèse PER'!E80="Communal"),'Synthèse PER'!L80,0)</f>
        <v>0</v>
      </c>
      <c r="BT80" s="290"/>
    </row>
    <row r="81" spans="1:72" s="139" customFormat="1" x14ac:dyDescent="0.25">
      <c r="A81" s="369" t="s">
        <v>1040</v>
      </c>
      <c r="B81" s="578" t="str">
        <f>'ADU-64'!B$3:E$3</f>
        <v>Mobilité</v>
      </c>
      <c r="C81" s="419" t="str">
        <f>'ADU-64'!$B$8</f>
        <v>mobilité douce</v>
      </c>
      <c r="D81" s="133" t="str">
        <f>'ADU-64'!$B$9</f>
        <v>Voies lentes</v>
      </c>
      <c r="E81" s="133" t="str">
        <f>'ADU-64'!$B$4</f>
        <v>Transport</v>
      </c>
      <c r="F81" s="133" t="str">
        <f>'ADU-64'!$B$12</f>
        <v>AC MESSANCY</v>
      </c>
      <c r="G81" s="133" t="str">
        <f>'ADU-64'!$B$6</f>
        <v>Fonds propres</v>
      </c>
      <c r="H81" s="134">
        <f>'ADU-64'!$B$17</f>
        <v>100000</v>
      </c>
      <c r="I81" s="133" t="str">
        <f>'ADU-64'!$B$7</f>
        <v>Néant</v>
      </c>
      <c r="J81" s="134">
        <f>'ADU-64'!$B$18</f>
        <v>50000</v>
      </c>
      <c r="K81" s="134">
        <f>'ADU-64'!$B$21</f>
        <v>2112</v>
      </c>
      <c r="L81" s="134">
        <f>'ADU-64'!$B$22</f>
        <v>0</v>
      </c>
      <c r="M81" s="135">
        <f>'ADU-64'!$B$24</f>
        <v>23.674242424242426</v>
      </c>
      <c r="N81" s="135">
        <f>'ADU-64'!$B$19/1000</f>
        <v>13.2</v>
      </c>
      <c r="O81" s="136">
        <f t="shared" si="82"/>
        <v>0.26399999999999996</v>
      </c>
      <c r="P81" s="137" t="str">
        <f>'ADU-64'!$B$5</f>
        <v>A faire</v>
      </c>
      <c r="Q81" s="140">
        <f>'ADU-64'!$B$16</f>
        <v>2021</v>
      </c>
      <c r="R81" s="283" t="str">
        <f t="shared" si="83"/>
        <v/>
      </c>
      <c r="S81" s="138">
        <f t="shared" si="84"/>
        <v>0</v>
      </c>
      <c r="T81" s="138">
        <f t="shared" si="85"/>
        <v>0</v>
      </c>
      <c r="U81" s="138">
        <f t="shared" si="86"/>
        <v>0</v>
      </c>
      <c r="V81" s="138">
        <f t="shared" si="87"/>
        <v>0</v>
      </c>
      <c r="W81" s="138">
        <f t="shared" si="88"/>
        <v>0</v>
      </c>
      <c r="X81" s="138">
        <f t="shared" si="89"/>
        <v>0</v>
      </c>
      <c r="Y81" s="138">
        <f t="shared" si="90"/>
        <v>0</v>
      </c>
      <c r="AA81" s="287">
        <f>IF(('Synthèse PER'!P81="A faire")*AND('Synthèse PER'!F81="Agriculture"),'Synthèse PER'!H81,0)</f>
        <v>0</v>
      </c>
      <c r="AB81" s="287">
        <f>IF(('Synthèse PER'!P81="A faire")*AND('Synthèse PER'!F81="Industrie"),'Synthèse PER'!H81,0)</f>
        <v>0</v>
      </c>
      <c r="AC81" s="287">
        <f>IF(('Synthèse PER'!P81="A faire")*AND('Synthèse PER'!F81="Citoyen"),'Synthèse PER'!H81,0)</f>
        <v>0</v>
      </c>
      <c r="AD81" s="287">
        <f>IF(('Synthèse PER'!P81="A faire")*AND('Synthèse PER'!F81="IDELUX"),'Synthèse PER'!H81,0)</f>
        <v>0</v>
      </c>
      <c r="AE81" s="290">
        <f>IF(('Synthèse PER'!P81="A faire")*AND('Synthèse PER'!F81="AC MESSANCY"),'Synthèse PER'!H81,0)</f>
        <v>100000</v>
      </c>
      <c r="AF81" s="287">
        <f>IF(('Synthèse PER'!P81="A faire")*AND('Synthèse PER'!F81="Tertiaire"),'Synthèse PER'!H81,0)</f>
        <v>0</v>
      </c>
      <c r="AG81" s="288"/>
      <c r="AH81" s="290">
        <f>IF(('Synthèse PER'!P81="A faire")*AND('Synthèse PER'!F81="Agriculture"),'Synthèse PER'!J81,0)</f>
        <v>0</v>
      </c>
      <c r="AI81" s="290">
        <f>IF(('Synthèse PER'!P81="A faire")*AND('Synthèse PER'!F81="Industrie"),'Synthèse PER'!J81,0)</f>
        <v>0</v>
      </c>
      <c r="AJ81" s="290">
        <f>IF(('Synthèse PER'!P81="A faire")*AND('Synthèse PER'!F81="Citoyen"),'Synthèse PER'!J81,0)</f>
        <v>0</v>
      </c>
      <c r="AK81" s="290">
        <f>IF(('Synthèse PER'!P81="A faire")*AND('Synthèse PER'!F81="IDELUX"),'Synthèse PER'!J81,0)</f>
        <v>0</v>
      </c>
      <c r="AL81" s="290">
        <f>IF(('Synthèse PER'!P81="A faire")*AND('Synthèse PER'!F81="AC MESSANCY"),'Synthèse PER'!J81,0)</f>
        <v>50000</v>
      </c>
      <c r="AM81" s="290">
        <f>IF(('Synthèse PER'!P81="A faire")*AND('Synthèse PER'!F81="Tertiaire"),'Synthèse PER'!J81,0)</f>
        <v>0</v>
      </c>
      <c r="AN81" s="288"/>
      <c r="AO81" s="290">
        <f>IF(('Synthèse PER'!P81="A faire")*AND('Synthèse PER'!E81="Territoire"),'Synthèse PER'!H81,0)</f>
        <v>0</v>
      </c>
      <c r="AP81" s="290">
        <f>IF(('Synthèse PER'!P81="A faire")*AND('Synthèse PER'!E81="Agriculture"),'Synthèse PER'!H81,0)</f>
        <v>0</v>
      </c>
      <c r="AQ81" s="290">
        <f>IF(('Synthèse PER'!P81="A faire")*AND('Synthèse PER'!E81="Industrie"),'Synthèse PER'!H81,0)</f>
        <v>0</v>
      </c>
      <c r="AR81" s="290">
        <f>IF(('Synthèse PER'!P81="A faire")*AND('Synthèse PER'!E81="Logement"),'Synthèse PER'!H81,0)</f>
        <v>0</v>
      </c>
      <c r="AS81" s="290">
        <f>IF(('Synthèse PER'!P81="A faire")*AND('Synthèse PER'!E81="Tertiaire"),'Synthèse PER'!H81,0)</f>
        <v>0</v>
      </c>
      <c r="AT81" s="290">
        <f>IF(('Synthèse PER'!P81="A faire")*AND('Synthèse PER'!E81="Transport"),'Synthèse PER'!H81,0)</f>
        <v>100000</v>
      </c>
      <c r="AU81" s="290">
        <f>IF(('Synthèse PER'!P81="A faire")*AND('Synthèse PER'!E81="Communal"),'Synthèse PER'!H81,0)</f>
        <v>0</v>
      </c>
      <c r="AV81" s="288"/>
      <c r="AW81" s="290">
        <f>IF(('Synthèse PER'!P81="A faire")*AND('Synthèse PER'!E81="Territoire"),'Synthèse PER'!J81,0)</f>
        <v>0</v>
      </c>
      <c r="AX81" s="290">
        <f>IF(('Synthèse PER'!P81="A faire")*AND('Synthèse PER'!E81="Agriculture"),'Synthèse PER'!J81,0)</f>
        <v>0</v>
      </c>
      <c r="AY81" s="290">
        <f>IF(('Synthèse PER'!P81="A faire")*AND('Synthèse PER'!E81="Industrie"),'Synthèse PER'!J81,0)</f>
        <v>0</v>
      </c>
      <c r="AZ81" s="290">
        <f>IF(('Synthèse PER'!P81="A faire")*AND('Synthèse PER'!E81="Logement"),'Synthèse PER'!J81,0)</f>
        <v>0</v>
      </c>
      <c r="BA81" s="290">
        <f>IF(('Synthèse PER'!P81="A faire")*AND('Synthèse PER'!E81="Tertiaire"),'Synthèse PER'!J81,0)</f>
        <v>0</v>
      </c>
      <c r="BB81" s="290">
        <f>IF(('Synthèse PER'!P81="A faire")*AND('Synthèse PER'!E81="Transport"),'Synthèse PER'!J81,0)</f>
        <v>50000</v>
      </c>
      <c r="BC81" s="290">
        <f>IF(('Synthèse PER'!P81="A faire")*AND('Synthèse PER'!E81="Communal"),'Synthèse PER'!J81,0)</f>
        <v>0</v>
      </c>
      <c r="BD81" s="288"/>
      <c r="BE81" s="290">
        <f>IF(('Synthèse PER'!P81="A faire")*AND('Synthèse PER'!E81="Territoire"),'Synthèse PER'!K81,0)</f>
        <v>0</v>
      </c>
      <c r="BF81" s="290">
        <f>IF(('Synthèse PER'!P81="A faire")*AND('Synthèse PER'!E81="Agriculture"),'Synthèse PER'!K81,0)</f>
        <v>0</v>
      </c>
      <c r="BG81" s="290">
        <f>IF(('Synthèse PER'!P81="A faire")*AND('Synthèse PER'!E81="Industrie"),'Synthèse PER'!K81,0)</f>
        <v>0</v>
      </c>
      <c r="BH81" s="290">
        <f>IF(('Synthèse PER'!P81="A faire")*AND('Synthèse PER'!E81="Logement"),'Synthèse PER'!K81,0)</f>
        <v>0</v>
      </c>
      <c r="BI81" s="290">
        <f>IF(('Synthèse PER'!P81="A faire")*AND('Synthèse PER'!E81="Tertiaire"),'Synthèse PER'!K81,0)</f>
        <v>0</v>
      </c>
      <c r="BJ81" s="290">
        <f>IF(('Synthèse PER'!P81="A faire")*AND('Synthèse PER'!E81="Transport"),'Synthèse PER'!K81,0)</f>
        <v>2112</v>
      </c>
      <c r="BK81" s="290">
        <f>IF(('Synthèse PER'!P81="A faire")*AND('Synthèse PER'!E81="Communal"),'Synthèse PER'!K81,0)</f>
        <v>0</v>
      </c>
      <c r="BL81" s="288"/>
      <c r="BM81" s="290">
        <f>IF(('Synthèse PER'!P81="A faire")*AND('Synthèse PER'!E81="Territoire"),'Synthèse PER'!L81,0)</f>
        <v>0</v>
      </c>
      <c r="BN81" s="290">
        <f>IF(('Synthèse PER'!P81="A faire")*AND('Synthèse PER'!E81="Agriculture"),'Synthèse PER'!L81,0)</f>
        <v>0</v>
      </c>
      <c r="BO81" s="290">
        <f>IF(('Synthèse PER'!P81="A faire")*AND('Synthèse PER'!E81="Industrie"),'Synthèse PER'!L81,0)</f>
        <v>0</v>
      </c>
      <c r="BP81" s="290">
        <f>IF(('Synthèse PER'!P81="A faire")*AND('Synthèse PER'!E81="Logement"),'Synthèse PER'!L81,0)</f>
        <v>0</v>
      </c>
      <c r="BQ81" s="290">
        <f>IF(('Synthèse PER'!P81="A faire")*AND('Synthèse PER'!E81="Tertiaire"),'Synthèse PER'!L81,0)</f>
        <v>0</v>
      </c>
      <c r="BR81" s="290">
        <f>IF(('Synthèse PER'!P81="A faire")*AND('Synthèse PER'!E81="Transport"),'Synthèse PER'!L81,0)</f>
        <v>0</v>
      </c>
      <c r="BS81" s="290">
        <f>IF(('Synthèse PER'!P81="A faire")*AND('Synthèse PER'!E81="Communal"),'Synthèse PER'!L81,0)</f>
        <v>0</v>
      </c>
      <c r="BT81" s="290"/>
    </row>
    <row r="82" spans="1:72" s="139" customFormat="1" x14ac:dyDescent="0.25">
      <c r="A82" s="369" t="s">
        <v>1041</v>
      </c>
      <c r="B82" s="578" t="str">
        <f>'ADU-65'!B$3:E$3</f>
        <v>Mobilité</v>
      </c>
      <c r="C82" s="419" t="str">
        <f>'ADU-65'!$B$8</f>
        <v>Travailleurs frontaliers</v>
      </c>
      <c r="D82" s="133" t="str">
        <f>'ADU-65'!$B$9</f>
        <v>Service de bus transfrontalier</v>
      </c>
      <c r="E82" s="133" t="str">
        <f>'ADU-65'!$B$4</f>
        <v>Transport</v>
      </c>
      <c r="F82" s="133" t="str">
        <f>'ADU-65'!$B$12</f>
        <v>Citoyen</v>
      </c>
      <c r="G82" s="133" t="str">
        <f>'ADU-65'!$B$6</f>
        <v>Fonds propres</v>
      </c>
      <c r="H82" s="134">
        <f>'ADU-65'!$B$17</f>
        <v>0</v>
      </c>
      <c r="I82" s="133" t="str">
        <f>'ADU-65'!$B$7</f>
        <v>Néant</v>
      </c>
      <c r="J82" s="134">
        <f>'ADU-65'!$B$18</f>
        <v>0</v>
      </c>
      <c r="K82" s="134">
        <f>'ADU-65'!$B$21</f>
        <v>12384</v>
      </c>
      <c r="L82" s="134">
        <f>'ADU-65'!$B$22</f>
        <v>0</v>
      </c>
      <c r="M82" s="135">
        <f>'ADU-65'!$B$24</f>
        <v>0</v>
      </c>
      <c r="N82" s="135">
        <f>'ADU-65'!$B$19/1000</f>
        <v>77.400000000000006</v>
      </c>
      <c r="O82" s="136">
        <f t="shared" si="82"/>
        <v>0</v>
      </c>
      <c r="P82" s="137" t="str">
        <f>'ADU-65'!$B$5</f>
        <v>A faire</v>
      </c>
      <c r="Q82" s="140">
        <f>'ADU-65'!$B$16</f>
        <v>2030</v>
      </c>
      <c r="R82" s="283" t="str">
        <f t="shared" si="83"/>
        <v/>
      </c>
      <c r="S82" s="138">
        <f t="shared" si="84"/>
        <v>0</v>
      </c>
      <c r="T82" s="138">
        <f t="shared" si="85"/>
        <v>0</v>
      </c>
      <c r="U82" s="138">
        <f t="shared" si="86"/>
        <v>0</v>
      </c>
      <c r="V82" s="138">
        <f t="shared" si="87"/>
        <v>0</v>
      </c>
      <c r="W82" s="138">
        <f t="shared" si="88"/>
        <v>0</v>
      </c>
      <c r="X82" s="138">
        <f t="shared" si="89"/>
        <v>0</v>
      </c>
      <c r="Y82" s="138">
        <f t="shared" si="90"/>
        <v>0</v>
      </c>
      <c r="AA82" s="287">
        <f>IF(('Synthèse PER'!P82="A faire")*AND('Synthèse PER'!F82="Agriculture"),'Synthèse PER'!H82,0)</f>
        <v>0</v>
      </c>
      <c r="AB82" s="287">
        <f>IF(('Synthèse PER'!P82="A faire")*AND('Synthèse PER'!F82="Industrie"),'Synthèse PER'!H82,0)</f>
        <v>0</v>
      </c>
      <c r="AC82" s="287">
        <f>IF(('Synthèse PER'!P82="A faire")*AND('Synthèse PER'!F82="Citoyen"),'Synthèse PER'!H82,0)</f>
        <v>0</v>
      </c>
      <c r="AD82" s="287">
        <f>IF(('Synthèse PER'!P82="A faire")*AND('Synthèse PER'!F82="IDELUX"),'Synthèse PER'!H82,0)</f>
        <v>0</v>
      </c>
      <c r="AE82" s="290">
        <f>IF(('Synthèse PER'!P82="A faire")*AND('Synthèse PER'!F82="AC MESSANCY"),'Synthèse PER'!H82,0)</f>
        <v>0</v>
      </c>
      <c r="AF82" s="287">
        <f>IF(('Synthèse PER'!P82="A faire")*AND('Synthèse PER'!F82="Tertiaire"),'Synthèse PER'!H82,0)</f>
        <v>0</v>
      </c>
      <c r="AG82" s="288"/>
      <c r="AH82" s="290">
        <f>IF(('Synthèse PER'!P82="A faire")*AND('Synthèse PER'!F82="Agriculture"),'Synthèse PER'!J82,0)</f>
        <v>0</v>
      </c>
      <c r="AI82" s="290">
        <f>IF(('Synthèse PER'!P82="A faire")*AND('Synthèse PER'!F82="Industrie"),'Synthèse PER'!J82,0)</f>
        <v>0</v>
      </c>
      <c r="AJ82" s="290">
        <f>IF(('Synthèse PER'!P82="A faire")*AND('Synthèse PER'!F82="Citoyen"),'Synthèse PER'!J82,0)</f>
        <v>0</v>
      </c>
      <c r="AK82" s="290">
        <f>IF(('Synthèse PER'!P82="A faire")*AND('Synthèse PER'!F82="IDELUX"),'Synthèse PER'!J82,0)</f>
        <v>0</v>
      </c>
      <c r="AL82" s="290">
        <f>IF(('Synthèse PER'!P82="A faire")*AND('Synthèse PER'!F82="AC MESSANCY"),'Synthèse PER'!J82,0)</f>
        <v>0</v>
      </c>
      <c r="AM82" s="290">
        <f>IF(('Synthèse PER'!P82="A faire")*AND('Synthèse PER'!F82="Tertiaire"),'Synthèse PER'!J82,0)</f>
        <v>0</v>
      </c>
      <c r="AN82" s="288"/>
      <c r="AO82" s="290">
        <f>IF(('Synthèse PER'!P82="A faire")*AND('Synthèse PER'!E82="Territoire"),'Synthèse PER'!H82,0)</f>
        <v>0</v>
      </c>
      <c r="AP82" s="290">
        <f>IF(('Synthèse PER'!P82="A faire")*AND('Synthèse PER'!E82="Agriculture"),'Synthèse PER'!H82,0)</f>
        <v>0</v>
      </c>
      <c r="AQ82" s="290">
        <f>IF(('Synthèse PER'!P82="A faire")*AND('Synthèse PER'!E82="Industrie"),'Synthèse PER'!H82,0)</f>
        <v>0</v>
      </c>
      <c r="AR82" s="290">
        <f>IF(('Synthèse PER'!P82="A faire")*AND('Synthèse PER'!E82="Logement"),'Synthèse PER'!H82,0)</f>
        <v>0</v>
      </c>
      <c r="AS82" s="290">
        <f>IF(('Synthèse PER'!P82="A faire")*AND('Synthèse PER'!E82="Tertiaire"),'Synthèse PER'!H82,0)</f>
        <v>0</v>
      </c>
      <c r="AT82" s="290">
        <f>IF(('Synthèse PER'!P82="A faire")*AND('Synthèse PER'!E82="Transport"),'Synthèse PER'!H82,0)</f>
        <v>0</v>
      </c>
      <c r="AU82" s="290">
        <f>IF(('Synthèse PER'!P82="A faire")*AND('Synthèse PER'!E82="Communal"),'Synthèse PER'!H82,0)</f>
        <v>0</v>
      </c>
      <c r="AV82" s="288"/>
      <c r="AW82" s="290">
        <f>IF(('Synthèse PER'!P82="A faire")*AND('Synthèse PER'!E82="Territoire"),'Synthèse PER'!J82,0)</f>
        <v>0</v>
      </c>
      <c r="AX82" s="290">
        <f>IF(('Synthèse PER'!P82="A faire")*AND('Synthèse PER'!E82="Agriculture"),'Synthèse PER'!J82,0)</f>
        <v>0</v>
      </c>
      <c r="AY82" s="290">
        <f>IF(('Synthèse PER'!P82="A faire")*AND('Synthèse PER'!E82="Industrie"),'Synthèse PER'!J82,0)</f>
        <v>0</v>
      </c>
      <c r="AZ82" s="290">
        <f>IF(('Synthèse PER'!P82="A faire")*AND('Synthèse PER'!E82="Logement"),'Synthèse PER'!J82,0)</f>
        <v>0</v>
      </c>
      <c r="BA82" s="290">
        <f>IF(('Synthèse PER'!P82="A faire")*AND('Synthèse PER'!E82="Tertiaire"),'Synthèse PER'!J82,0)</f>
        <v>0</v>
      </c>
      <c r="BB82" s="290">
        <f>IF(('Synthèse PER'!P82="A faire")*AND('Synthèse PER'!E82="Transport"),'Synthèse PER'!J82,0)</f>
        <v>0</v>
      </c>
      <c r="BC82" s="290">
        <f>IF(('Synthèse PER'!P82="A faire")*AND('Synthèse PER'!E82="Communal"),'Synthèse PER'!J82,0)</f>
        <v>0</v>
      </c>
      <c r="BD82" s="288"/>
      <c r="BE82" s="290">
        <f>IF(('Synthèse PER'!P82="A faire")*AND('Synthèse PER'!E82="Territoire"),'Synthèse PER'!K82,0)</f>
        <v>0</v>
      </c>
      <c r="BF82" s="290">
        <f>IF(('Synthèse PER'!P82="A faire")*AND('Synthèse PER'!E82="Agriculture"),'Synthèse PER'!K82,0)</f>
        <v>0</v>
      </c>
      <c r="BG82" s="290">
        <f>IF(('Synthèse PER'!P82="A faire")*AND('Synthèse PER'!E82="Industrie"),'Synthèse PER'!K82,0)</f>
        <v>0</v>
      </c>
      <c r="BH82" s="290">
        <f>IF(('Synthèse PER'!P82="A faire")*AND('Synthèse PER'!E82="Logement"),'Synthèse PER'!K82,0)</f>
        <v>0</v>
      </c>
      <c r="BI82" s="290">
        <f>IF(('Synthèse PER'!P82="A faire")*AND('Synthèse PER'!E82="Tertiaire"),'Synthèse PER'!K82,0)</f>
        <v>0</v>
      </c>
      <c r="BJ82" s="290">
        <f>IF(('Synthèse PER'!P82="A faire")*AND('Synthèse PER'!E82="Transport"),'Synthèse PER'!K82,0)</f>
        <v>12384</v>
      </c>
      <c r="BK82" s="290">
        <f>IF(('Synthèse PER'!P82="A faire")*AND('Synthèse PER'!E82="Communal"),'Synthèse PER'!K82,0)</f>
        <v>0</v>
      </c>
      <c r="BL82" s="288"/>
      <c r="BM82" s="290">
        <f>IF(('Synthèse PER'!P82="A faire")*AND('Synthèse PER'!E82="Territoire"),'Synthèse PER'!L82,0)</f>
        <v>0</v>
      </c>
      <c r="BN82" s="290">
        <f>IF(('Synthèse PER'!P82="A faire")*AND('Synthèse PER'!E82="Agriculture"),'Synthèse PER'!L82,0)</f>
        <v>0</v>
      </c>
      <c r="BO82" s="290">
        <f>IF(('Synthèse PER'!P82="A faire")*AND('Synthèse PER'!E82="Industrie"),'Synthèse PER'!L82,0)</f>
        <v>0</v>
      </c>
      <c r="BP82" s="290">
        <f>IF(('Synthèse PER'!P82="A faire")*AND('Synthèse PER'!E82="Logement"),'Synthèse PER'!L82,0)</f>
        <v>0</v>
      </c>
      <c r="BQ82" s="290">
        <f>IF(('Synthèse PER'!P82="A faire")*AND('Synthèse PER'!E82="Tertiaire"),'Synthèse PER'!L82,0)</f>
        <v>0</v>
      </c>
      <c r="BR82" s="290">
        <f>IF(('Synthèse PER'!P82="A faire")*AND('Synthèse PER'!E82="Transport"),'Synthèse PER'!L82,0)</f>
        <v>0</v>
      </c>
      <c r="BS82" s="290">
        <f>IF(('Synthèse PER'!P82="A faire")*AND('Synthèse PER'!E82="Communal"),'Synthèse PER'!L82,0)</f>
        <v>0</v>
      </c>
      <c r="BT82" s="290"/>
    </row>
    <row r="83" spans="1:72" s="139" customFormat="1" x14ac:dyDescent="0.25">
      <c r="A83" s="369" t="s">
        <v>805</v>
      </c>
      <c r="B83" s="414" t="str">
        <f>'ADU-70'!B$3:E$3</f>
        <v>ER Electricité</v>
      </c>
      <c r="C83" s="419" t="str">
        <f>'ADU-70'!$B$8</f>
        <v>Logement</v>
      </c>
      <c r="D83" s="133" t="str">
        <f>'ADU-70'!$B$9</f>
        <v xml:space="preserve"> PhV &lt; 10 kWc - existant</v>
      </c>
      <c r="E83" s="133" t="str">
        <f>'ADU-70'!$B$4</f>
        <v>Logement</v>
      </c>
      <c r="F83" s="133" t="str">
        <f>'ADU-70'!$B$12</f>
        <v>Citoyen</v>
      </c>
      <c r="G83" s="133" t="str">
        <f>'ADU-70'!$B$6</f>
        <v>Fonds propres</v>
      </c>
      <c r="H83" s="134">
        <f>'ADU-70'!$B$17</f>
        <v>6098400.0000000009</v>
      </c>
      <c r="I83" s="133" t="str">
        <f>'ADU-70'!$B$7</f>
        <v>CV</v>
      </c>
      <c r="J83" s="134">
        <f>'ADU-70'!$B$18</f>
        <v>0</v>
      </c>
      <c r="K83" s="134">
        <f>'ADU-70'!$B$21</f>
        <v>598752</v>
      </c>
      <c r="L83" s="134">
        <f>'ADU-70'!$B$22</f>
        <v>648648</v>
      </c>
      <c r="M83" s="135">
        <f>'ADU-70'!$B$24</f>
        <v>4.8888888888888893</v>
      </c>
      <c r="N83" s="135">
        <f>'ADU-70'!$B$19/1000</f>
        <v>0</v>
      </c>
      <c r="O83" s="136"/>
      <c r="P83" s="137" t="str">
        <f>'ADU-70'!$B$5</f>
        <v>Terminé</v>
      </c>
      <c r="Q83" s="140">
        <f>'ADU-70'!$B$16</f>
        <v>2017</v>
      </c>
      <c r="R83" s="283">
        <f>IF(P83="terminé", N83,"")</f>
        <v>0</v>
      </c>
      <c r="S83" s="138">
        <f t="shared" si="9"/>
        <v>0</v>
      </c>
      <c r="T83" s="138">
        <f t="shared" si="10"/>
        <v>0</v>
      </c>
      <c r="U83" s="138">
        <f t="shared" si="11"/>
        <v>0</v>
      </c>
      <c r="V83" s="138">
        <f t="shared" si="12"/>
        <v>0</v>
      </c>
      <c r="W83" s="138">
        <f t="shared" si="13"/>
        <v>0</v>
      </c>
      <c r="X83" s="138">
        <f t="shared" si="14"/>
        <v>0</v>
      </c>
      <c r="Y83" s="138">
        <f t="shared" si="15"/>
        <v>0</v>
      </c>
      <c r="AA83" s="287">
        <f>IF(('Synthèse PER'!P83="A faire")*AND('Synthèse PER'!F83="Agriculture"),'Synthèse PER'!H83,0)</f>
        <v>0</v>
      </c>
      <c r="AB83" s="287">
        <f>IF(('Synthèse PER'!P83="A faire")*AND('Synthèse PER'!F83="Industrie"),'Synthèse PER'!H83,0)</f>
        <v>0</v>
      </c>
      <c r="AC83" s="287">
        <f>IF(('Synthèse PER'!P83="A faire")*AND('Synthèse PER'!F83="Citoyen"),'Synthèse PER'!H83,0)</f>
        <v>0</v>
      </c>
      <c r="AD83" s="287">
        <f>IF(('Synthèse PER'!P83="A faire")*AND('Synthèse PER'!F83="IDELUX"),'Synthèse PER'!H83,0)</f>
        <v>0</v>
      </c>
      <c r="AE83" s="290">
        <f>IF(('Synthèse PER'!P83="A faire")*AND('Synthèse PER'!F83="AC MESSANCY"),'Synthèse PER'!H83,0)</f>
        <v>0</v>
      </c>
      <c r="AF83" s="287">
        <f>IF(('Synthèse PER'!P83="A faire")*AND('Synthèse PER'!F83="Tertiaire"),'Synthèse PER'!H83,0)</f>
        <v>0</v>
      </c>
      <c r="AG83" s="288"/>
      <c r="AH83" s="290">
        <f>IF(('Synthèse PER'!P83="A faire")*AND('Synthèse PER'!F83="Agriculture"),'Synthèse PER'!J83,0)</f>
        <v>0</v>
      </c>
      <c r="AI83" s="290">
        <f>IF(('Synthèse PER'!P83="A faire")*AND('Synthèse PER'!F83="Industrie"),'Synthèse PER'!J83,0)</f>
        <v>0</v>
      </c>
      <c r="AJ83" s="290">
        <f>IF(('Synthèse PER'!P83="A faire")*AND('Synthèse PER'!F83="Citoyen"),'Synthèse PER'!J83,0)</f>
        <v>0</v>
      </c>
      <c r="AK83" s="290">
        <f>IF(('Synthèse PER'!P83="A faire")*AND('Synthèse PER'!F83="IDELUX"),'Synthèse PER'!J83,0)</f>
        <v>0</v>
      </c>
      <c r="AL83" s="290">
        <f>IF(('Synthèse PER'!P83="A faire")*AND('Synthèse PER'!F83="AC MESSANCY"),'Synthèse PER'!J83,0)</f>
        <v>0</v>
      </c>
      <c r="AM83" s="290">
        <f>IF(('Synthèse PER'!P83="A faire")*AND('Synthèse PER'!F83="Tertiaire"),'Synthèse PER'!J83,0)</f>
        <v>0</v>
      </c>
      <c r="AN83" s="288"/>
      <c r="AO83" s="290">
        <f>IF(('Synthèse PER'!P83="A faire")*AND('Synthèse PER'!E83="Territoire"),'Synthèse PER'!H83,0)</f>
        <v>0</v>
      </c>
      <c r="AP83" s="290">
        <f>IF(('Synthèse PER'!P83="A faire")*AND('Synthèse PER'!E83="Agriculture"),'Synthèse PER'!H83,0)</f>
        <v>0</v>
      </c>
      <c r="AQ83" s="290">
        <f>IF(('Synthèse PER'!P83="A faire")*AND('Synthèse PER'!E83="Industrie"),'Synthèse PER'!H83,0)</f>
        <v>0</v>
      </c>
      <c r="AR83" s="290">
        <f>IF(('Synthèse PER'!P83="A faire")*AND('Synthèse PER'!E83="Logement"),'Synthèse PER'!H83,0)</f>
        <v>0</v>
      </c>
      <c r="AS83" s="290">
        <f>IF(('Synthèse PER'!P83="A faire")*AND('Synthèse PER'!E83="Tertiaire"),'Synthèse PER'!H83,0)</f>
        <v>0</v>
      </c>
      <c r="AT83" s="290">
        <f>IF(('Synthèse PER'!P83="A faire")*AND('Synthèse PER'!E83="Transport"),'Synthèse PER'!H83,0)</f>
        <v>0</v>
      </c>
      <c r="AU83" s="290">
        <f>IF(('Synthèse PER'!P83="A faire")*AND('Synthèse PER'!E83="Communal"),'Synthèse PER'!H83,0)</f>
        <v>0</v>
      </c>
      <c r="AV83" s="288"/>
      <c r="AW83" s="290">
        <f>IF(('Synthèse PER'!P83="A faire")*AND('Synthèse PER'!E83="Territoire"),'Synthèse PER'!J83,0)</f>
        <v>0</v>
      </c>
      <c r="AX83" s="290">
        <f>IF(('Synthèse PER'!P83="A faire")*AND('Synthèse PER'!E83="Agriculture"),'Synthèse PER'!J83,0)</f>
        <v>0</v>
      </c>
      <c r="AY83" s="290">
        <f>IF(('Synthèse PER'!P83="A faire")*AND('Synthèse PER'!E83="Industrie"),'Synthèse PER'!J83,0)</f>
        <v>0</v>
      </c>
      <c r="AZ83" s="290">
        <f>IF(('Synthèse PER'!P83="A faire")*AND('Synthèse PER'!E83="Logement"),'Synthèse PER'!J83,0)</f>
        <v>0</v>
      </c>
      <c r="BA83" s="290">
        <f>IF(('Synthèse PER'!P83="A faire")*AND('Synthèse PER'!E83="Tertiaire"),'Synthèse PER'!J83,0)</f>
        <v>0</v>
      </c>
      <c r="BB83" s="290">
        <f>IF(('Synthèse PER'!P83="A faire")*AND('Synthèse PER'!E83="Transport"),'Synthèse PER'!J83,0)</f>
        <v>0</v>
      </c>
      <c r="BC83" s="290">
        <f>IF(('Synthèse PER'!P83="A faire")*AND('Synthèse PER'!E83="Communal"),'Synthèse PER'!J83,0)</f>
        <v>0</v>
      </c>
      <c r="BD83" s="288"/>
      <c r="BE83" s="290">
        <f>IF(('Synthèse PER'!P83="A faire")*AND('Synthèse PER'!E83="Territoire"),'Synthèse PER'!K83,0)</f>
        <v>0</v>
      </c>
      <c r="BF83" s="290">
        <f>IF(('Synthèse PER'!P83="A faire")*AND('Synthèse PER'!E83="Agriculture"),'Synthèse PER'!K83,0)</f>
        <v>0</v>
      </c>
      <c r="BG83" s="290">
        <f>IF(('Synthèse PER'!P83="A faire")*AND('Synthèse PER'!E83="Industrie"),'Synthèse PER'!K83,0)</f>
        <v>0</v>
      </c>
      <c r="BH83" s="290">
        <f>IF(('Synthèse PER'!P83="A faire")*AND('Synthèse PER'!E83="Logement"),'Synthèse PER'!K83,0)</f>
        <v>0</v>
      </c>
      <c r="BI83" s="290">
        <f>IF(('Synthèse PER'!P83="A faire")*AND('Synthèse PER'!E83="Tertiaire"),'Synthèse PER'!K83,0)</f>
        <v>0</v>
      </c>
      <c r="BJ83" s="290">
        <f>IF(('Synthèse PER'!P83="A faire")*AND('Synthèse PER'!E83="Transport"),'Synthèse PER'!K83,0)</f>
        <v>0</v>
      </c>
      <c r="BK83" s="290">
        <f>IF(('Synthèse PER'!P83="A faire")*AND('Synthèse PER'!E83="Communal"),'Synthèse PER'!K83,0)</f>
        <v>0</v>
      </c>
      <c r="BL83" s="288"/>
      <c r="BM83" s="290">
        <f>IF(('Synthèse PER'!P83="A faire")*AND('Synthèse PER'!E83="Territoire"),'Synthèse PER'!L83,0)</f>
        <v>0</v>
      </c>
      <c r="BN83" s="290">
        <f>IF(('Synthèse PER'!P83="A faire")*AND('Synthèse PER'!E83="Agriculture"),'Synthèse PER'!L83,0)</f>
        <v>0</v>
      </c>
      <c r="BO83" s="290">
        <f>IF(('Synthèse PER'!P83="A faire")*AND('Synthèse PER'!E83="Industrie"),'Synthèse PER'!L83,0)</f>
        <v>0</v>
      </c>
      <c r="BP83" s="290">
        <f>IF(('Synthèse PER'!P83="A faire")*AND('Synthèse PER'!E83="Logement"),'Synthèse PER'!L83,0)</f>
        <v>0</v>
      </c>
      <c r="BQ83" s="290">
        <f>IF(('Synthèse PER'!P83="A faire")*AND('Synthèse PER'!E83="Tertiaire"),'Synthèse PER'!L83,0)</f>
        <v>0</v>
      </c>
      <c r="BR83" s="290">
        <f>IF(('Synthèse PER'!P83="A faire")*AND('Synthèse PER'!E83="Transport"),'Synthèse PER'!L83,0)</f>
        <v>0</v>
      </c>
      <c r="BS83" s="290">
        <f>IF(('Synthèse PER'!P83="A faire")*AND('Synthèse PER'!E83="Communal"),'Synthèse PER'!L83,0)</f>
        <v>0</v>
      </c>
      <c r="BT83" s="290">
        <f>IF(('Synthèse PER'!Q83="A faire")*AND('Synthèse PER'!F83="Communal"),'Synthèse PER'!M83,0)</f>
        <v>0</v>
      </c>
    </row>
    <row r="84" spans="1:72" s="139" customFormat="1" x14ac:dyDescent="0.25">
      <c r="A84" s="369" t="s">
        <v>804</v>
      </c>
      <c r="B84" s="414" t="str">
        <f>'ADU-71'!B$3:E$3</f>
        <v>ER Electricité</v>
      </c>
      <c r="C84" s="419" t="str">
        <f>'ADU-71'!$B$8</f>
        <v>Bâtiments tertiaires</v>
      </c>
      <c r="D84" s="133" t="str">
        <f>'ADU-71'!$B$9</f>
        <v>PhV &gt; 10 kWc - existant</v>
      </c>
      <c r="E84" s="133" t="str">
        <f>'ADU-71'!$B$4</f>
        <v>Tertiaire</v>
      </c>
      <c r="F84" s="133" t="str">
        <f>'ADU-71'!$B$12</f>
        <v>Tertiaire</v>
      </c>
      <c r="G84" s="133" t="str">
        <f>'ADU-71'!$B$6</f>
        <v>Fonds propres</v>
      </c>
      <c r="H84" s="134">
        <f>'ADU-71'!$B$17</f>
        <v>1659405</v>
      </c>
      <c r="I84" s="133" t="str">
        <f>'ADU-71'!$B$7</f>
        <v>CV</v>
      </c>
      <c r="J84" s="134">
        <f>'ADU-71'!$B$18</f>
        <v>0</v>
      </c>
      <c r="K84" s="134">
        <f>'ADU-71'!$B$21</f>
        <v>268488</v>
      </c>
      <c r="L84" s="134">
        <f>'ADU-71'!$B$22</f>
        <v>290862</v>
      </c>
      <c r="M84" s="135">
        <f>'ADU-71'!$B$24</f>
        <v>2.9666666666666668</v>
      </c>
      <c r="N84" s="135">
        <f>'ADU-71'!$B$19/1000</f>
        <v>0</v>
      </c>
      <c r="O84" s="136"/>
      <c r="P84" s="137" t="str">
        <f>'ADU-71'!$B$5</f>
        <v>Terminé</v>
      </c>
      <c r="Q84" s="140">
        <f>'ADU-71'!$B$16</f>
        <v>2018</v>
      </c>
      <c r="R84" s="283">
        <f t="shared" ref="R84:R103" si="91">IF(P84="terminé", N84,"")</f>
        <v>0</v>
      </c>
      <c r="S84" s="138">
        <f t="shared" si="9"/>
        <v>0</v>
      </c>
      <c r="T84" s="138">
        <f t="shared" si="10"/>
        <v>0</v>
      </c>
      <c r="U84" s="138">
        <f t="shared" si="11"/>
        <v>0</v>
      </c>
      <c r="V84" s="138">
        <f t="shared" si="12"/>
        <v>0</v>
      </c>
      <c r="W84" s="138">
        <f t="shared" si="13"/>
        <v>0</v>
      </c>
      <c r="X84" s="138">
        <f t="shared" si="14"/>
        <v>0</v>
      </c>
      <c r="Y84" s="138">
        <f t="shared" si="15"/>
        <v>0</v>
      </c>
      <c r="AA84" s="287">
        <f>IF(('Synthèse PER'!P84="A faire")*AND('Synthèse PER'!F84="Agriculture"),'Synthèse PER'!H84,0)</f>
        <v>0</v>
      </c>
      <c r="AB84" s="287">
        <f>IF(('Synthèse PER'!P84="A faire")*AND('Synthèse PER'!F84="Industrie"),'Synthèse PER'!H84,0)</f>
        <v>0</v>
      </c>
      <c r="AC84" s="287">
        <f>IF(('Synthèse PER'!P84="A faire")*AND('Synthèse PER'!F84="Citoyen"),'Synthèse PER'!H84,0)</f>
        <v>0</v>
      </c>
      <c r="AD84" s="287">
        <f>IF(('Synthèse PER'!P84="A faire")*AND('Synthèse PER'!F84="IDELUX"),'Synthèse PER'!H84,0)</f>
        <v>0</v>
      </c>
      <c r="AE84" s="290">
        <f>IF(('Synthèse PER'!P84="A faire")*AND('Synthèse PER'!F84="AC MESSANCY"),'Synthèse PER'!H84,0)</f>
        <v>0</v>
      </c>
      <c r="AF84" s="287">
        <f>IF(('Synthèse PER'!P84="A faire")*AND('Synthèse PER'!F84="Tertiaire"),'Synthèse PER'!H84,0)</f>
        <v>0</v>
      </c>
      <c r="AG84" s="288"/>
      <c r="AH84" s="290">
        <f>IF(('Synthèse PER'!P84="A faire")*AND('Synthèse PER'!F84="Agriculture"),'Synthèse PER'!J84,0)</f>
        <v>0</v>
      </c>
      <c r="AI84" s="290">
        <f>IF(('Synthèse PER'!P84="A faire")*AND('Synthèse PER'!F84="Industrie"),'Synthèse PER'!J84,0)</f>
        <v>0</v>
      </c>
      <c r="AJ84" s="290">
        <f>IF(('Synthèse PER'!P84="A faire")*AND('Synthèse PER'!F84="Citoyen"),'Synthèse PER'!J84,0)</f>
        <v>0</v>
      </c>
      <c r="AK84" s="290">
        <f>IF(('Synthèse PER'!P84="A faire")*AND('Synthèse PER'!F84="IDELUX"),'Synthèse PER'!J84,0)</f>
        <v>0</v>
      </c>
      <c r="AL84" s="290">
        <f>IF(('Synthèse PER'!P84="A faire")*AND('Synthèse PER'!F84="AC MESSANCY"),'Synthèse PER'!J84,0)</f>
        <v>0</v>
      </c>
      <c r="AM84" s="290">
        <f>IF(('Synthèse PER'!P84="A faire")*AND('Synthèse PER'!F84="Tertiaire"),'Synthèse PER'!J84,0)</f>
        <v>0</v>
      </c>
      <c r="AN84" s="288"/>
      <c r="AO84" s="290">
        <f>IF(('Synthèse PER'!P84="A faire")*AND('Synthèse PER'!E84="Territoire"),'Synthèse PER'!H84,0)</f>
        <v>0</v>
      </c>
      <c r="AP84" s="290">
        <f>IF(('Synthèse PER'!P84="A faire")*AND('Synthèse PER'!E84="Agriculture"),'Synthèse PER'!H84,0)</f>
        <v>0</v>
      </c>
      <c r="AQ84" s="290">
        <f>IF(('Synthèse PER'!P84="A faire")*AND('Synthèse PER'!E84="Industrie"),'Synthèse PER'!H84,0)</f>
        <v>0</v>
      </c>
      <c r="AR84" s="290">
        <f>IF(('Synthèse PER'!P84="A faire")*AND('Synthèse PER'!E84="Logement"),'Synthèse PER'!H84,0)</f>
        <v>0</v>
      </c>
      <c r="AS84" s="290">
        <f>IF(('Synthèse PER'!P84="A faire")*AND('Synthèse PER'!E84="Tertiaire"),'Synthèse PER'!H84,0)</f>
        <v>0</v>
      </c>
      <c r="AT84" s="290">
        <f>IF(('Synthèse PER'!P84="A faire")*AND('Synthèse PER'!E84="Transport"),'Synthèse PER'!H84,0)</f>
        <v>0</v>
      </c>
      <c r="AU84" s="290">
        <f>IF(('Synthèse PER'!P84="A faire")*AND('Synthèse PER'!E84="Communal"),'Synthèse PER'!H84,0)</f>
        <v>0</v>
      </c>
      <c r="AV84" s="288"/>
      <c r="AW84" s="290">
        <f>IF(('Synthèse PER'!P84="A faire")*AND('Synthèse PER'!E84="Territoire"),'Synthèse PER'!J84,0)</f>
        <v>0</v>
      </c>
      <c r="AX84" s="290">
        <f>IF(('Synthèse PER'!P84="A faire")*AND('Synthèse PER'!E84="Agriculture"),'Synthèse PER'!J84,0)</f>
        <v>0</v>
      </c>
      <c r="AY84" s="290">
        <f>IF(('Synthèse PER'!P84="A faire")*AND('Synthèse PER'!E84="Industrie"),'Synthèse PER'!J84,0)</f>
        <v>0</v>
      </c>
      <c r="AZ84" s="290">
        <f>IF(('Synthèse PER'!P84="A faire")*AND('Synthèse PER'!E84="Logement"),'Synthèse PER'!J84,0)</f>
        <v>0</v>
      </c>
      <c r="BA84" s="290">
        <f>IF(('Synthèse PER'!P84="A faire")*AND('Synthèse PER'!E84="Tertiaire"),'Synthèse PER'!J84,0)</f>
        <v>0</v>
      </c>
      <c r="BB84" s="290">
        <f>IF(('Synthèse PER'!P84="A faire")*AND('Synthèse PER'!E84="Transport"),'Synthèse PER'!J84,0)</f>
        <v>0</v>
      </c>
      <c r="BC84" s="290">
        <f>IF(('Synthèse PER'!P84="A faire")*AND('Synthèse PER'!E84="Communal"),'Synthèse PER'!J84,0)</f>
        <v>0</v>
      </c>
      <c r="BD84" s="288"/>
      <c r="BE84" s="290">
        <f>IF(('Synthèse PER'!P84="A faire")*AND('Synthèse PER'!E84="Territoire"),'Synthèse PER'!K84,0)</f>
        <v>0</v>
      </c>
      <c r="BF84" s="290">
        <f>IF(('Synthèse PER'!P84="A faire")*AND('Synthèse PER'!E84="Agriculture"),'Synthèse PER'!K84,0)</f>
        <v>0</v>
      </c>
      <c r="BG84" s="290">
        <f>IF(('Synthèse PER'!P84="A faire")*AND('Synthèse PER'!E84="Industrie"),'Synthèse PER'!K84,0)</f>
        <v>0</v>
      </c>
      <c r="BH84" s="290">
        <f>IF(('Synthèse PER'!P84="A faire")*AND('Synthèse PER'!E84="Logement"),'Synthèse PER'!K84,0)</f>
        <v>0</v>
      </c>
      <c r="BI84" s="290">
        <f>IF(('Synthèse PER'!P84="A faire")*AND('Synthèse PER'!E84="Tertiaire"),'Synthèse PER'!K84,0)</f>
        <v>0</v>
      </c>
      <c r="BJ84" s="290">
        <f>IF(('Synthèse PER'!P84="A faire")*AND('Synthèse PER'!E84="Transport"),'Synthèse PER'!K84,0)</f>
        <v>0</v>
      </c>
      <c r="BK84" s="290">
        <f>IF(('Synthèse PER'!P84="A faire")*AND('Synthèse PER'!E84="Communal"),'Synthèse PER'!K84,0)</f>
        <v>0</v>
      </c>
      <c r="BL84" s="288"/>
      <c r="BM84" s="290">
        <f>IF(('Synthèse PER'!P84="A faire")*AND('Synthèse PER'!E84="Territoire"),'Synthèse PER'!L84,0)</f>
        <v>0</v>
      </c>
      <c r="BN84" s="290">
        <f>IF(('Synthèse PER'!P84="A faire")*AND('Synthèse PER'!E84="Agriculture"),'Synthèse PER'!L84,0)</f>
        <v>0</v>
      </c>
      <c r="BO84" s="290">
        <f>IF(('Synthèse PER'!P84="A faire")*AND('Synthèse PER'!E84="Industrie"),'Synthèse PER'!L84,0)</f>
        <v>0</v>
      </c>
      <c r="BP84" s="290">
        <f>IF(('Synthèse PER'!P84="A faire")*AND('Synthèse PER'!E84="Logement"),'Synthèse PER'!L84,0)</f>
        <v>0</v>
      </c>
      <c r="BQ84" s="290">
        <f>IF(('Synthèse PER'!P84="A faire")*AND('Synthèse PER'!E84="Tertiaire"),'Synthèse PER'!L84,0)</f>
        <v>0</v>
      </c>
      <c r="BR84" s="290">
        <f>IF(('Synthèse PER'!P84="A faire")*AND('Synthèse PER'!E84="Transport"),'Synthèse PER'!L84,0)</f>
        <v>0</v>
      </c>
      <c r="BS84" s="290">
        <f>IF(('Synthèse PER'!P84="A faire")*AND('Synthèse PER'!E84="Communal"),'Synthèse PER'!L84,0)</f>
        <v>0</v>
      </c>
      <c r="BT84" s="290">
        <f>IF(('Synthèse PER'!Q84="A faire")*AND('Synthèse PER'!F84="Communal"),'Synthèse PER'!M84,0)</f>
        <v>0</v>
      </c>
    </row>
    <row r="85" spans="1:72" s="139" customFormat="1" x14ac:dyDescent="0.25">
      <c r="A85" s="369" t="s">
        <v>803</v>
      </c>
      <c r="B85" s="414" t="str">
        <f>'ADU-72'!B$3:E$3</f>
        <v>ER Electricité</v>
      </c>
      <c r="C85" s="419" t="str">
        <f>'ADU-72'!$B$8</f>
        <v>Logement</v>
      </c>
      <c r="D85" s="133" t="str">
        <f>'ADU-72'!$B$9</f>
        <v>PhV &lt; 10 kWc</v>
      </c>
      <c r="E85" s="133" t="str">
        <f>'ADU-72'!$B$4</f>
        <v>Logement</v>
      </c>
      <c r="F85" s="133" t="str">
        <f>'ADU-72'!$B$12</f>
        <v>Citoyen</v>
      </c>
      <c r="G85" s="133" t="str">
        <f>'ADU-72'!$B$6</f>
        <v>Prêt bancaire</v>
      </c>
      <c r="H85" s="134">
        <f>'ADU-72'!$B$17</f>
        <v>3093720.0000000005</v>
      </c>
      <c r="I85" s="133" t="str">
        <f>'ADU-72'!$B$7</f>
        <v>Primes RW</v>
      </c>
      <c r="J85" s="134">
        <f>'ADU-72'!$B$18</f>
        <v>-1658279.9999999995</v>
      </c>
      <c r="K85" s="134">
        <f>'ADU-72'!$B$21</f>
        <v>594000</v>
      </c>
      <c r="L85" s="134">
        <f>'ADU-72'!$B$22</f>
        <v>0</v>
      </c>
      <c r="M85" s="135">
        <f>'ADU-72'!$B$24</f>
        <v>8</v>
      </c>
      <c r="N85" s="135">
        <f>'ADU-72'!$B$19/1000</f>
        <v>0</v>
      </c>
      <c r="O85" s="136"/>
      <c r="P85" s="137" t="str">
        <f>'ADU-72'!$B$5</f>
        <v>A faire</v>
      </c>
      <c r="Q85" s="140">
        <f>'ADU-72'!$B$16</f>
        <v>2030</v>
      </c>
      <c r="R85" s="283" t="str">
        <f t="shared" si="91"/>
        <v/>
      </c>
      <c r="S85" s="138">
        <f t="shared" si="9"/>
        <v>0</v>
      </c>
      <c r="T85" s="138">
        <f t="shared" si="10"/>
        <v>0</v>
      </c>
      <c r="U85" s="138">
        <f t="shared" si="11"/>
        <v>0</v>
      </c>
      <c r="V85" s="138">
        <f t="shared" si="12"/>
        <v>0</v>
      </c>
      <c r="W85" s="138">
        <f t="shared" si="13"/>
        <v>0</v>
      </c>
      <c r="X85" s="138">
        <f t="shared" si="14"/>
        <v>0</v>
      </c>
      <c r="Y85" s="138">
        <f t="shared" si="15"/>
        <v>0</v>
      </c>
      <c r="AA85" s="287">
        <f>IF(('Synthèse PER'!P85="A faire")*AND('Synthèse PER'!F85="Agriculture"),'Synthèse PER'!H85,0)</f>
        <v>0</v>
      </c>
      <c r="AB85" s="287">
        <f>IF(('Synthèse PER'!P85="A faire")*AND('Synthèse PER'!F85="Industrie"),'Synthèse PER'!H85,0)</f>
        <v>0</v>
      </c>
      <c r="AC85" s="287">
        <f>IF(('Synthèse PER'!P85="A faire")*AND('Synthèse PER'!F85="Citoyen"),'Synthèse PER'!H85,0)</f>
        <v>3093720.0000000005</v>
      </c>
      <c r="AD85" s="287">
        <f>IF(('Synthèse PER'!P85="A faire")*AND('Synthèse PER'!F85="IDELUX"),'Synthèse PER'!H85,0)</f>
        <v>0</v>
      </c>
      <c r="AE85" s="290">
        <f>IF(('Synthèse PER'!P85="A faire")*AND('Synthèse PER'!F85="AC MESSANCY"),'Synthèse PER'!H85,0)</f>
        <v>0</v>
      </c>
      <c r="AF85" s="287">
        <f>IF(('Synthèse PER'!P85="A faire")*AND('Synthèse PER'!F85="Tertiaire"),'Synthèse PER'!H85,0)</f>
        <v>0</v>
      </c>
      <c r="AG85" s="288"/>
      <c r="AH85" s="290">
        <f>IF(('Synthèse PER'!P85="A faire")*AND('Synthèse PER'!F85="Agriculture"),'Synthèse PER'!J85,0)</f>
        <v>0</v>
      </c>
      <c r="AI85" s="290">
        <f>IF(('Synthèse PER'!P85="A faire")*AND('Synthèse PER'!F85="Industrie"),'Synthèse PER'!J85,0)</f>
        <v>0</v>
      </c>
      <c r="AJ85" s="290">
        <f>IF(('Synthèse PER'!P85="A faire")*AND('Synthèse PER'!F85="Citoyen"),'Synthèse PER'!J85,0)</f>
        <v>-1658279.9999999995</v>
      </c>
      <c r="AK85" s="290">
        <f>IF(('Synthèse PER'!P85="A faire")*AND('Synthèse PER'!F85="IDELUX"),'Synthèse PER'!J85,0)</f>
        <v>0</v>
      </c>
      <c r="AL85" s="290">
        <f>IF(('Synthèse PER'!P85="A faire")*AND('Synthèse PER'!F85="AC MESSANCY"),'Synthèse PER'!J85,0)</f>
        <v>0</v>
      </c>
      <c r="AM85" s="290">
        <f>IF(('Synthèse PER'!P85="A faire")*AND('Synthèse PER'!F85="Tertiaire"),'Synthèse PER'!J85,0)</f>
        <v>0</v>
      </c>
      <c r="AN85" s="288"/>
      <c r="AO85" s="290">
        <f>IF(('Synthèse PER'!P85="A faire")*AND('Synthèse PER'!E85="Territoire"),'Synthèse PER'!H85,0)</f>
        <v>0</v>
      </c>
      <c r="AP85" s="290">
        <f>IF(('Synthèse PER'!P85="A faire")*AND('Synthèse PER'!E85="Agriculture"),'Synthèse PER'!H85,0)</f>
        <v>0</v>
      </c>
      <c r="AQ85" s="290">
        <f>IF(('Synthèse PER'!P85="A faire")*AND('Synthèse PER'!E85="Industrie"),'Synthèse PER'!H85,0)</f>
        <v>0</v>
      </c>
      <c r="AR85" s="290">
        <f>IF(('Synthèse PER'!P85="A faire")*AND('Synthèse PER'!E85="Logement"),'Synthèse PER'!H85,0)</f>
        <v>3093720.0000000005</v>
      </c>
      <c r="AS85" s="290">
        <f>IF(('Synthèse PER'!P85="A faire")*AND('Synthèse PER'!E85="Tertiaire"),'Synthèse PER'!H85,0)</f>
        <v>0</v>
      </c>
      <c r="AT85" s="290">
        <f>IF(('Synthèse PER'!P85="A faire")*AND('Synthèse PER'!E85="Transport"),'Synthèse PER'!H85,0)</f>
        <v>0</v>
      </c>
      <c r="AU85" s="290">
        <f>IF(('Synthèse PER'!P85="A faire")*AND('Synthèse PER'!E85="Communal"),'Synthèse PER'!H85,0)</f>
        <v>0</v>
      </c>
      <c r="AV85" s="288"/>
      <c r="AW85" s="290">
        <f>IF(('Synthèse PER'!P85="A faire")*AND('Synthèse PER'!E85="Territoire"),'Synthèse PER'!J85,0)</f>
        <v>0</v>
      </c>
      <c r="AX85" s="290">
        <f>IF(('Synthèse PER'!P85="A faire")*AND('Synthèse PER'!E85="Agriculture"),'Synthèse PER'!J85,0)</f>
        <v>0</v>
      </c>
      <c r="AY85" s="290">
        <f>IF(('Synthèse PER'!P85="A faire")*AND('Synthèse PER'!E85="Industrie"),'Synthèse PER'!J85,0)</f>
        <v>0</v>
      </c>
      <c r="AZ85" s="290">
        <f>IF(('Synthèse PER'!P85="A faire")*AND('Synthèse PER'!E85="Logement"),'Synthèse PER'!J85,0)</f>
        <v>-1658279.9999999995</v>
      </c>
      <c r="BA85" s="290">
        <f>IF(('Synthèse PER'!P85="A faire")*AND('Synthèse PER'!E85="Tertiaire"),'Synthèse PER'!J85,0)</f>
        <v>0</v>
      </c>
      <c r="BB85" s="290">
        <f>IF(('Synthèse PER'!P85="A faire")*AND('Synthèse PER'!E85="Transport"),'Synthèse PER'!J85,0)</f>
        <v>0</v>
      </c>
      <c r="BC85" s="290">
        <f>IF(('Synthèse PER'!P85="A faire")*AND('Synthèse PER'!E85="Communal"),'Synthèse PER'!J85,0)</f>
        <v>0</v>
      </c>
      <c r="BD85" s="288"/>
      <c r="BE85" s="290">
        <f>IF(('Synthèse PER'!P85="A faire")*AND('Synthèse PER'!E85="Territoire"),'Synthèse PER'!K85,0)</f>
        <v>0</v>
      </c>
      <c r="BF85" s="290">
        <f>IF(('Synthèse PER'!P85="A faire")*AND('Synthèse PER'!E85="Agriculture"),'Synthèse PER'!K85,0)</f>
        <v>0</v>
      </c>
      <c r="BG85" s="290">
        <f>IF(('Synthèse PER'!P85="A faire")*AND('Synthèse PER'!E85="Industrie"),'Synthèse PER'!K85,0)</f>
        <v>0</v>
      </c>
      <c r="BH85" s="290">
        <f>IF(('Synthèse PER'!P85="A faire")*AND('Synthèse PER'!E85="Logement"),'Synthèse PER'!K85,0)</f>
        <v>594000</v>
      </c>
      <c r="BI85" s="290">
        <f>IF(('Synthèse PER'!P85="A faire")*AND('Synthèse PER'!E85="Tertiaire"),'Synthèse PER'!K85,0)</f>
        <v>0</v>
      </c>
      <c r="BJ85" s="290">
        <f>IF(('Synthèse PER'!P85="A faire")*AND('Synthèse PER'!E85="Transport"),'Synthèse PER'!K85,0)</f>
        <v>0</v>
      </c>
      <c r="BK85" s="290">
        <f>IF(('Synthèse PER'!P85="A faire")*AND('Synthèse PER'!E85="Communal"),'Synthèse PER'!K85,0)</f>
        <v>0</v>
      </c>
      <c r="BL85" s="288"/>
      <c r="BM85" s="290">
        <f>IF(('Synthèse PER'!P85="A faire")*AND('Synthèse PER'!E85="Territoire"),'Synthèse PER'!L85,0)</f>
        <v>0</v>
      </c>
      <c r="BN85" s="290">
        <f>IF(('Synthèse PER'!P85="A faire")*AND('Synthèse PER'!E85="Agriculture"),'Synthèse PER'!L85,0)</f>
        <v>0</v>
      </c>
      <c r="BO85" s="290">
        <f>IF(('Synthèse PER'!P85="A faire")*AND('Synthèse PER'!E85="Industrie"),'Synthèse PER'!L85,0)</f>
        <v>0</v>
      </c>
      <c r="BP85" s="290">
        <f>IF(('Synthèse PER'!P85="A faire")*AND('Synthèse PER'!E85="Logement"),'Synthèse PER'!L85,0)</f>
        <v>0</v>
      </c>
      <c r="BQ85" s="290">
        <f>IF(('Synthèse PER'!P85="A faire")*AND('Synthèse PER'!E85="Tertiaire"),'Synthèse PER'!L85,0)</f>
        <v>0</v>
      </c>
      <c r="BR85" s="290">
        <f>IF(('Synthèse PER'!P85="A faire")*AND('Synthèse PER'!E85="Transport"),'Synthèse PER'!L85,0)</f>
        <v>0</v>
      </c>
      <c r="BS85" s="290">
        <f>IF(('Synthèse PER'!P85="A faire")*AND('Synthèse PER'!E85="Communal"),'Synthèse PER'!L85,0)</f>
        <v>0</v>
      </c>
      <c r="BT85" s="290">
        <f>IF(('Synthèse PER'!Q85="A faire")*AND('Synthèse PER'!F85="Communal"),'Synthèse PER'!M85,0)</f>
        <v>0</v>
      </c>
    </row>
    <row r="86" spans="1:72" s="139" customFormat="1" x14ac:dyDescent="0.25">
      <c r="A86" s="369" t="s">
        <v>802</v>
      </c>
      <c r="B86" s="414" t="str">
        <f>'ADU-73'!B$3:E$3</f>
        <v>ER Electricité</v>
      </c>
      <c r="C86" s="419" t="str">
        <f>'ADU-73'!$B$8</f>
        <v>Bâtiments communaux</v>
      </c>
      <c r="D86" s="133" t="str">
        <f>'ADU-73'!$B$9</f>
        <v>PhV &lt; 10 kWc</v>
      </c>
      <c r="E86" s="133" t="str">
        <f>'ADU-73'!$B$4</f>
        <v>Communal</v>
      </c>
      <c r="F86" s="133" t="str">
        <f>'ADU-73'!$B$12</f>
        <v>AC MESSANCY</v>
      </c>
      <c r="G86" s="133" t="str">
        <f>'ADU-73'!$B$6</f>
        <v>Prêt bancaire</v>
      </c>
      <c r="H86" s="134">
        <f>'ADU-73'!$B$17</f>
        <v>46405.8</v>
      </c>
      <c r="I86" s="133" t="str">
        <f>'ADU-73'!$B$7</f>
        <v>Primes RW</v>
      </c>
      <c r="J86" s="134">
        <f>'ADU-73'!$B$18</f>
        <v>-39994.199999999997</v>
      </c>
      <c r="K86" s="134">
        <f>'ADU-73'!$B$21</f>
        <v>10800</v>
      </c>
      <c r="L86" s="134">
        <f>'ADU-73'!$B$22</f>
        <v>0</v>
      </c>
      <c r="M86" s="135">
        <f>'ADU-73'!$B$24</f>
        <v>8</v>
      </c>
      <c r="N86" s="135">
        <f>'ADU-73'!$B$19/1000</f>
        <v>0</v>
      </c>
      <c r="O86" s="136"/>
      <c r="P86" s="137" t="str">
        <f>'ADU-73'!$B$5</f>
        <v>A faire</v>
      </c>
      <c r="Q86" s="140">
        <f>'ADU-73'!$B$16</f>
        <v>2030</v>
      </c>
      <c r="R86" s="283" t="str">
        <f t="shared" si="91"/>
        <v/>
      </c>
      <c r="S86" s="138">
        <f t="shared" si="9"/>
        <v>0</v>
      </c>
      <c r="T86" s="138">
        <f t="shared" si="10"/>
        <v>0</v>
      </c>
      <c r="U86" s="138">
        <f t="shared" si="11"/>
        <v>0</v>
      </c>
      <c r="V86" s="138">
        <f t="shared" si="12"/>
        <v>0</v>
      </c>
      <c r="W86" s="138">
        <f t="shared" si="13"/>
        <v>0</v>
      </c>
      <c r="X86" s="138">
        <f t="shared" si="14"/>
        <v>0</v>
      </c>
      <c r="Y86" s="138">
        <f t="shared" si="15"/>
        <v>0</v>
      </c>
      <c r="AA86" s="287">
        <f>IF(('Synthèse PER'!P86="A faire")*AND('Synthèse PER'!F86="Agriculture"),'Synthèse PER'!H86,0)</f>
        <v>0</v>
      </c>
      <c r="AB86" s="287">
        <f>IF(('Synthèse PER'!P86="A faire")*AND('Synthèse PER'!F86="Industrie"),'Synthèse PER'!H86,0)</f>
        <v>0</v>
      </c>
      <c r="AC86" s="287">
        <f>IF(('Synthèse PER'!P86="A faire")*AND('Synthèse PER'!F86="Citoyen"),'Synthèse PER'!H86,0)</f>
        <v>0</v>
      </c>
      <c r="AD86" s="287">
        <f>IF(('Synthèse PER'!P86="A faire")*AND('Synthèse PER'!F86="IDELUX"),'Synthèse PER'!H86,0)</f>
        <v>0</v>
      </c>
      <c r="AE86" s="290">
        <f>IF(('Synthèse PER'!P86="A faire")*AND('Synthèse PER'!F86="AC MESSANCY"),'Synthèse PER'!H86,0)</f>
        <v>46405.8</v>
      </c>
      <c r="AF86" s="287">
        <f>IF(('Synthèse PER'!P86="A faire")*AND('Synthèse PER'!F86="Tertiaire"),'Synthèse PER'!H86,0)</f>
        <v>0</v>
      </c>
      <c r="AG86" s="288"/>
      <c r="AH86" s="290">
        <f>IF(('Synthèse PER'!P86="A faire")*AND('Synthèse PER'!F86="Agriculture"),'Synthèse PER'!J86,0)</f>
        <v>0</v>
      </c>
      <c r="AI86" s="290">
        <f>IF(('Synthèse PER'!P86="A faire")*AND('Synthèse PER'!F86="Industrie"),'Synthèse PER'!J86,0)</f>
        <v>0</v>
      </c>
      <c r="AJ86" s="290">
        <f>IF(('Synthèse PER'!P86="A faire")*AND('Synthèse PER'!F86="Citoyen"),'Synthèse PER'!J86,0)</f>
        <v>0</v>
      </c>
      <c r="AK86" s="290">
        <f>IF(('Synthèse PER'!P86="A faire")*AND('Synthèse PER'!F86="IDELUX"),'Synthèse PER'!J86,0)</f>
        <v>0</v>
      </c>
      <c r="AL86" s="290">
        <f>IF(('Synthèse PER'!P86="A faire")*AND('Synthèse PER'!F86="AC MESSANCY"),'Synthèse PER'!J86,0)</f>
        <v>-39994.199999999997</v>
      </c>
      <c r="AM86" s="290">
        <f>IF(('Synthèse PER'!P86="A faire")*AND('Synthèse PER'!F86="Tertiaire"),'Synthèse PER'!J86,0)</f>
        <v>0</v>
      </c>
      <c r="AN86" s="288"/>
      <c r="AO86" s="290">
        <f>IF(('Synthèse PER'!P86="A faire")*AND('Synthèse PER'!E86="Territoire"),'Synthèse PER'!H86,0)</f>
        <v>0</v>
      </c>
      <c r="AP86" s="290">
        <f>IF(('Synthèse PER'!P86="A faire")*AND('Synthèse PER'!E86="Agriculture"),'Synthèse PER'!H86,0)</f>
        <v>0</v>
      </c>
      <c r="AQ86" s="290">
        <f>IF(('Synthèse PER'!P86="A faire")*AND('Synthèse PER'!E86="Industrie"),'Synthèse PER'!H86,0)</f>
        <v>0</v>
      </c>
      <c r="AR86" s="290">
        <f>IF(('Synthèse PER'!P86="A faire")*AND('Synthèse PER'!E86="Logement"),'Synthèse PER'!H86,0)</f>
        <v>0</v>
      </c>
      <c r="AS86" s="290">
        <f>IF(('Synthèse PER'!P86="A faire")*AND('Synthèse PER'!E86="Tertiaire"),'Synthèse PER'!H86,0)</f>
        <v>0</v>
      </c>
      <c r="AT86" s="290">
        <f>IF(('Synthèse PER'!P86="A faire")*AND('Synthèse PER'!E86="Transport"),'Synthèse PER'!H86,0)</f>
        <v>0</v>
      </c>
      <c r="AU86" s="290">
        <f>IF(('Synthèse PER'!P86="A faire")*AND('Synthèse PER'!E86="Communal"),'Synthèse PER'!H86,0)</f>
        <v>46405.8</v>
      </c>
      <c r="AV86" s="288"/>
      <c r="AW86" s="290">
        <f>IF(('Synthèse PER'!P86="A faire")*AND('Synthèse PER'!E86="Territoire"),'Synthèse PER'!J86,0)</f>
        <v>0</v>
      </c>
      <c r="AX86" s="290">
        <f>IF(('Synthèse PER'!P86="A faire")*AND('Synthèse PER'!E86="Agriculture"),'Synthèse PER'!J86,0)</f>
        <v>0</v>
      </c>
      <c r="AY86" s="290">
        <f>IF(('Synthèse PER'!P86="A faire")*AND('Synthèse PER'!E86="Industrie"),'Synthèse PER'!J86,0)</f>
        <v>0</v>
      </c>
      <c r="AZ86" s="290">
        <f>IF(('Synthèse PER'!P86="A faire")*AND('Synthèse PER'!E86="Logement"),'Synthèse PER'!J86,0)</f>
        <v>0</v>
      </c>
      <c r="BA86" s="290">
        <f>IF(('Synthèse PER'!P86="A faire")*AND('Synthèse PER'!E86="Tertiaire"),'Synthèse PER'!J86,0)</f>
        <v>0</v>
      </c>
      <c r="BB86" s="290">
        <f>IF(('Synthèse PER'!P86="A faire")*AND('Synthèse PER'!E86="Transport"),'Synthèse PER'!J86,0)</f>
        <v>0</v>
      </c>
      <c r="BC86" s="290">
        <f>IF(('Synthèse PER'!P86="A faire")*AND('Synthèse PER'!E86="Communal"),'Synthèse PER'!J86,0)</f>
        <v>-39994.199999999997</v>
      </c>
      <c r="BD86" s="288"/>
      <c r="BE86" s="290">
        <f>IF(('Synthèse PER'!P86="A faire")*AND('Synthèse PER'!E86="Territoire"),'Synthèse PER'!K86,0)</f>
        <v>0</v>
      </c>
      <c r="BF86" s="290">
        <f>IF(('Synthèse PER'!P86="A faire")*AND('Synthèse PER'!E86="Agriculture"),'Synthèse PER'!K86,0)</f>
        <v>0</v>
      </c>
      <c r="BG86" s="290">
        <f>IF(('Synthèse PER'!P86="A faire")*AND('Synthèse PER'!E86="Industrie"),'Synthèse PER'!K86,0)</f>
        <v>0</v>
      </c>
      <c r="BH86" s="290">
        <f>IF(('Synthèse PER'!P86="A faire")*AND('Synthèse PER'!E86="Logement"),'Synthèse PER'!K86,0)</f>
        <v>0</v>
      </c>
      <c r="BI86" s="290">
        <f>IF(('Synthèse PER'!P86="A faire")*AND('Synthèse PER'!E86="Tertiaire"),'Synthèse PER'!K86,0)</f>
        <v>0</v>
      </c>
      <c r="BJ86" s="290">
        <f>IF(('Synthèse PER'!P86="A faire")*AND('Synthèse PER'!E86="Transport"),'Synthèse PER'!K86,0)</f>
        <v>0</v>
      </c>
      <c r="BK86" s="290">
        <f>IF(('Synthèse PER'!P86="A faire")*AND('Synthèse PER'!E86="Communal"),'Synthèse PER'!K86,0)</f>
        <v>10800</v>
      </c>
      <c r="BL86" s="288"/>
      <c r="BM86" s="290">
        <f>IF(('Synthèse PER'!P86="A faire")*AND('Synthèse PER'!E86="Territoire"),'Synthèse PER'!L86,0)</f>
        <v>0</v>
      </c>
      <c r="BN86" s="290">
        <f>IF(('Synthèse PER'!P86="A faire")*AND('Synthèse PER'!E86="Agriculture"),'Synthèse PER'!L86,0)</f>
        <v>0</v>
      </c>
      <c r="BO86" s="290">
        <f>IF(('Synthèse PER'!P86="A faire")*AND('Synthèse PER'!E86="Industrie"),'Synthèse PER'!L86,0)</f>
        <v>0</v>
      </c>
      <c r="BP86" s="290">
        <f>IF(('Synthèse PER'!P86="A faire")*AND('Synthèse PER'!E86="Logement"),'Synthèse PER'!L86,0)</f>
        <v>0</v>
      </c>
      <c r="BQ86" s="290">
        <f>IF(('Synthèse PER'!P86="A faire")*AND('Synthèse PER'!E86="Tertiaire"),'Synthèse PER'!L86,0)</f>
        <v>0</v>
      </c>
      <c r="BR86" s="290">
        <f>IF(('Synthèse PER'!P86="A faire")*AND('Synthèse PER'!E86="Transport"),'Synthèse PER'!L86,0)</f>
        <v>0</v>
      </c>
      <c r="BS86" s="290">
        <f>IF(('Synthèse PER'!P86="A faire")*AND('Synthèse PER'!E86="Communal"),'Synthèse PER'!L86,0)</f>
        <v>0</v>
      </c>
      <c r="BT86" s="290">
        <f>IF(('Synthèse PER'!Q86="A faire")*AND('Synthèse PER'!F86="Communal"),'Synthèse PER'!M86,0)</f>
        <v>0</v>
      </c>
    </row>
    <row r="87" spans="1:72" s="139" customFormat="1" x14ac:dyDescent="0.25">
      <c r="A87" s="369" t="s">
        <v>801</v>
      </c>
      <c r="B87" s="414" t="str">
        <f>'ADU-74'!B$3:E$3</f>
        <v>ER Electricité</v>
      </c>
      <c r="C87" s="419" t="str">
        <f>'ADU-74'!$B$8</f>
        <v>Bâtiments industriels</v>
      </c>
      <c r="D87" s="133" t="str">
        <f>'ADU-74'!$B$9</f>
        <v>Phv &gt; 10 kWc</v>
      </c>
      <c r="E87" s="133" t="str">
        <f>'ADU-74'!$B$4</f>
        <v>Industrie</v>
      </c>
      <c r="F87" s="133" t="str">
        <f>'ADU-74'!$B$12</f>
        <v>Industrie</v>
      </c>
      <c r="G87" s="133" t="str">
        <f>'ADU-74'!$B$6</f>
        <v>Fonds propres</v>
      </c>
      <c r="H87" s="134">
        <f>'ADU-74'!$B$17</f>
        <v>484000</v>
      </c>
      <c r="I87" s="133" t="str">
        <f>'ADU-74'!$B$7</f>
        <v>CV</v>
      </c>
      <c r="J87" s="134">
        <f>'ADU-74'!$B$18</f>
        <v>0</v>
      </c>
      <c r="K87" s="134">
        <f>'ADU-74'!$B$21</f>
        <v>27000</v>
      </c>
      <c r="L87" s="134">
        <f>'ADU-74'!$B$22</f>
        <v>28080</v>
      </c>
      <c r="M87" s="135">
        <f>'ADU-74'!$B$24</f>
        <v>8.7872185911401601</v>
      </c>
      <c r="N87" s="135">
        <f>'ADU-74'!$B$19/1000</f>
        <v>0</v>
      </c>
      <c r="O87" s="136"/>
      <c r="P87" s="137" t="str">
        <f>'ADU-74'!$B$5</f>
        <v>A faire</v>
      </c>
      <c r="Q87" s="140">
        <f>'ADU-74'!$B$16</f>
        <v>2030</v>
      </c>
      <c r="R87" s="283" t="str">
        <f t="shared" si="91"/>
        <v/>
      </c>
      <c r="S87" s="138">
        <f t="shared" ref="S87:S126" si="92">IF((P87="Terminé")*AND(E87="Territoire"),N87,0)</f>
        <v>0</v>
      </c>
      <c r="T87" s="138">
        <f t="shared" ref="T87:T126" si="93">IF((P87="Terminé")*AND(E87="Agriculture"),N87,0)</f>
        <v>0</v>
      </c>
      <c r="U87" s="138">
        <f t="shared" ref="U87:U126" si="94">IF((P87="Terminé")*AND(E87="Industrie"), N87,0)</f>
        <v>0</v>
      </c>
      <c r="V87" s="138">
        <f t="shared" ref="V87:V126" si="95">IF((P87="Terminé")*AND(E87="Logement"),N87,0)</f>
        <v>0</v>
      </c>
      <c r="W87" s="138">
        <f t="shared" ref="W87:W126" si="96">IF((P87="Terminé")*AND(E87="Tertiaire"),N87,0)</f>
        <v>0</v>
      </c>
      <c r="X87" s="138">
        <f t="shared" ref="X87:X126" si="97">IF((P87="Terminé")*AND(E87="Transport"),N87,0)</f>
        <v>0</v>
      </c>
      <c r="Y87" s="138">
        <f t="shared" ref="Y87:Y126" si="98">IF((P87="Terminé")*AND(E87="Communal"),N87,0)</f>
        <v>0</v>
      </c>
      <c r="AA87" s="287">
        <f>IF(('Synthèse PER'!P87="A faire")*AND('Synthèse PER'!F87="Agriculture"),'Synthèse PER'!H87,0)</f>
        <v>0</v>
      </c>
      <c r="AB87" s="287">
        <f>IF(('Synthèse PER'!P87="A faire")*AND('Synthèse PER'!F87="Industrie"),'Synthèse PER'!H87,0)</f>
        <v>484000</v>
      </c>
      <c r="AC87" s="287">
        <f>IF(('Synthèse PER'!P87="A faire")*AND('Synthèse PER'!F87="Citoyen"),'Synthèse PER'!H87,0)</f>
        <v>0</v>
      </c>
      <c r="AD87" s="287">
        <f>IF(('Synthèse PER'!P87="A faire")*AND('Synthèse PER'!F87="IDELUX"),'Synthèse PER'!H87,0)</f>
        <v>0</v>
      </c>
      <c r="AE87" s="290">
        <f>IF(('Synthèse PER'!P87="A faire")*AND('Synthèse PER'!F87="AC MESSANCY"),'Synthèse PER'!H87,0)</f>
        <v>0</v>
      </c>
      <c r="AF87" s="287">
        <f>IF(('Synthèse PER'!P87="A faire")*AND('Synthèse PER'!F87="Tertiaire"),'Synthèse PER'!H87,0)</f>
        <v>0</v>
      </c>
      <c r="AG87" s="288"/>
      <c r="AH87" s="290">
        <f>IF(('Synthèse PER'!P87="A faire")*AND('Synthèse PER'!F87="Agriculture"),'Synthèse PER'!J87,0)</f>
        <v>0</v>
      </c>
      <c r="AI87" s="290">
        <f>IF(('Synthèse PER'!P87="A faire")*AND('Synthèse PER'!F87="Industrie"),'Synthèse PER'!J87,0)</f>
        <v>0</v>
      </c>
      <c r="AJ87" s="290">
        <f>IF(('Synthèse PER'!P87="A faire")*AND('Synthèse PER'!F87="Citoyen"),'Synthèse PER'!J87,0)</f>
        <v>0</v>
      </c>
      <c r="AK87" s="290">
        <f>IF(('Synthèse PER'!P87="A faire")*AND('Synthèse PER'!F87="IDELUX"),'Synthèse PER'!J87,0)</f>
        <v>0</v>
      </c>
      <c r="AL87" s="290">
        <f>IF(('Synthèse PER'!P87="A faire")*AND('Synthèse PER'!F87="AC MESSANCY"),'Synthèse PER'!J87,0)</f>
        <v>0</v>
      </c>
      <c r="AM87" s="290">
        <f>IF(('Synthèse PER'!P87="A faire")*AND('Synthèse PER'!F87="Tertiaire"),'Synthèse PER'!J87,0)</f>
        <v>0</v>
      </c>
      <c r="AN87" s="288"/>
      <c r="AO87" s="290">
        <f>IF(('Synthèse PER'!P87="A faire")*AND('Synthèse PER'!E87="Territoire"),'Synthèse PER'!H87,0)</f>
        <v>0</v>
      </c>
      <c r="AP87" s="290">
        <f>IF(('Synthèse PER'!P87="A faire")*AND('Synthèse PER'!E87="Agriculture"),'Synthèse PER'!H87,0)</f>
        <v>0</v>
      </c>
      <c r="AQ87" s="290">
        <f>IF(('Synthèse PER'!P87="A faire")*AND('Synthèse PER'!E87="Industrie"),'Synthèse PER'!H87,0)</f>
        <v>484000</v>
      </c>
      <c r="AR87" s="290">
        <f>IF(('Synthèse PER'!P87="A faire")*AND('Synthèse PER'!E87="Logement"),'Synthèse PER'!H87,0)</f>
        <v>0</v>
      </c>
      <c r="AS87" s="290">
        <f>IF(('Synthèse PER'!P87="A faire")*AND('Synthèse PER'!E87="Tertiaire"),'Synthèse PER'!H87,0)</f>
        <v>0</v>
      </c>
      <c r="AT87" s="290">
        <f>IF(('Synthèse PER'!P87="A faire")*AND('Synthèse PER'!E87="Transport"),'Synthèse PER'!H87,0)</f>
        <v>0</v>
      </c>
      <c r="AU87" s="290">
        <f>IF(('Synthèse PER'!P87="A faire")*AND('Synthèse PER'!E87="Communal"),'Synthèse PER'!H87,0)</f>
        <v>0</v>
      </c>
      <c r="AV87" s="288"/>
      <c r="AW87" s="290">
        <f>IF(('Synthèse PER'!P87="A faire")*AND('Synthèse PER'!E87="Territoire"),'Synthèse PER'!J87,0)</f>
        <v>0</v>
      </c>
      <c r="AX87" s="290">
        <f>IF(('Synthèse PER'!P87="A faire")*AND('Synthèse PER'!E87="Agriculture"),'Synthèse PER'!J87,0)</f>
        <v>0</v>
      </c>
      <c r="AY87" s="290">
        <f>IF(('Synthèse PER'!P87="A faire")*AND('Synthèse PER'!E87="Industrie"),'Synthèse PER'!J87,0)</f>
        <v>0</v>
      </c>
      <c r="AZ87" s="290">
        <f>IF(('Synthèse PER'!P87="A faire")*AND('Synthèse PER'!E87="Logement"),'Synthèse PER'!J87,0)</f>
        <v>0</v>
      </c>
      <c r="BA87" s="290">
        <f>IF(('Synthèse PER'!P87="A faire")*AND('Synthèse PER'!E87="Tertiaire"),'Synthèse PER'!J87,0)</f>
        <v>0</v>
      </c>
      <c r="BB87" s="290">
        <f>IF(('Synthèse PER'!P87="A faire")*AND('Synthèse PER'!E87="Transport"),'Synthèse PER'!J87,0)</f>
        <v>0</v>
      </c>
      <c r="BC87" s="290">
        <f>IF(('Synthèse PER'!P87="A faire")*AND('Synthèse PER'!E87="Communal"),'Synthèse PER'!J87,0)</f>
        <v>0</v>
      </c>
      <c r="BD87" s="288"/>
      <c r="BE87" s="290">
        <f>IF(('Synthèse PER'!P87="A faire")*AND('Synthèse PER'!E87="Territoire"),'Synthèse PER'!K87,0)</f>
        <v>0</v>
      </c>
      <c r="BF87" s="290">
        <f>IF(('Synthèse PER'!P87="A faire")*AND('Synthèse PER'!E87="Agriculture"),'Synthèse PER'!K87,0)</f>
        <v>0</v>
      </c>
      <c r="BG87" s="290">
        <f>IF(('Synthèse PER'!P87="A faire")*AND('Synthèse PER'!E87="Industrie"),'Synthèse PER'!K87,0)</f>
        <v>27000</v>
      </c>
      <c r="BH87" s="290">
        <f>IF(('Synthèse PER'!P87="A faire")*AND('Synthèse PER'!E87="Logement"),'Synthèse PER'!K87,0)</f>
        <v>0</v>
      </c>
      <c r="BI87" s="290">
        <f>IF(('Synthèse PER'!P87="A faire")*AND('Synthèse PER'!E87="Tertiaire"),'Synthèse PER'!K87,0)</f>
        <v>0</v>
      </c>
      <c r="BJ87" s="290">
        <f>IF(('Synthèse PER'!P87="A faire")*AND('Synthèse PER'!E87="Transport"),'Synthèse PER'!K87,0)</f>
        <v>0</v>
      </c>
      <c r="BK87" s="290">
        <f>IF(('Synthèse PER'!P87="A faire")*AND('Synthèse PER'!E87="Communal"),'Synthèse PER'!K87,0)</f>
        <v>0</v>
      </c>
      <c r="BL87" s="288"/>
      <c r="BM87" s="290">
        <f>IF(('Synthèse PER'!P87="A faire")*AND('Synthèse PER'!E87="Territoire"),'Synthèse PER'!L87,0)</f>
        <v>0</v>
      </c>
      <c r="BN87" s="290">
        <f>IF(('Synthèse PER'!P87="A faire")*AND('Synthèse PER'!E87="Agriculture"),'Synthèse PER'!L87,0)</f>
        <v>0</v>
      </c>
      <c r="BO87" s="290">
        <f>IF(('Synthèse PER'!P87="A faire")*AND('Synthèse PER'!E87="Industrie"),'Synthèse PER'!L87,0)</f>
        <v>28080</v>
      </c>
      <c r="BP87" s="290">
        <f>IF(('Synthèse PER'!P87="A faire")*AND('Synthèse PER'!E87="Logement"),'Synthèse PER'!L87,0)</f>
        <v>0</v>
      </c>
      <c r="BQ87" s="290">
        <f>IF(('Synthèse PER'!P87="A faire")*AND('Synthèse PER'!E87="Tertiaire"),'Synthèse PER'!L87,0)</f>
        <v>0</v>
      </c>
      <c r="BR87" s="290">
        <f>IF(('Synthèse PER'!P87="A faire")*AND('Synthèse PER'!E87="Transport"),'Synthèse PER'!L87,0)</f>
        <v>0</v>
      </c>
      <c r="BS87" s="290">
        <f>IF(('Synthèse PER'!P87="A faire")*AND('Synthèse PER'!E87="Communal"),'Synthèse PER'!L87,0)</f>
        <v>0</v>
      </c>
      <c r="BT87" s="290">
        <f>IF(('Synthèse PER'!Q87="A faire")*AND('Synthèse PER'!F87="Communal"),'Synthèse PER'!M87,0)</f>
        <v>0</v>
      </c>
    </row>
    <row r="88" spans="1:72" s="139" customFormat="1" x14ac:dyDescent="0.25">
      <c r="A88" s="369" t="s">
        <v>800</v>
      </c>
      <c r="B88" s="414" t="str">
        <f>'ADU-75'!B$3:E$3</f>
        <v>ER Electricité</v>
      </c>
      <c r="C88" s="419" t="str">
        <f>'ADU-75'!$B$8</f>
        <v>Bâtiments agricoles</v>
      </c>
      <c r="D88" s="133" t="str">
        <f>'ADU-75'!$B$9</f>
        <v>PhV &lt;10 kWc</v>
      </c>
      <c r="E88" s="133" t="str">
        <f>'ADU-75'!$B$4</f>
        <v>Agriculture</v>
      </c>
      <c r="F88" s="133" t="str">
        <f>'ADU-75'!$B$12</f>
        <v>Agriculture</v>
      </c>
      <c r="G88" s="133" t="str">
        <f>'ADU-75'!$B$6</f>
        <v>1/3 invest</v>
      </c>
      <c r="H88" s="134">
        <f>'ADU-75'!$B$17</f>
        <v>48400</v>
      </c>
      <c r="I88" s="133" t="str">
        <f>'ADU-75'!$B$7</f>
        <v>CV</v>
      </c>
      <c r="J88" s="134">
        <f>'ADU-75'!$B$18</f>
        <v>0</v>
      </c>
      <c r="K88" s="134">
        <f>'ADU-75'!$B$21</f>
        <v>3600</v>
      </c>
      <c r="L88" s="134">
        <f>'ADU-75'!$B$22</f>
        <v>2808</v>
      </c>
      <c r="M88" s="135">
        <f>'ADU-75'!$B$24</f>
        <v>7.5530586766541825</v>
      </c>
      <c r="N88" s="135">
        <f>'ADU-75'!$B$19/1000</f>
        <v>0</v>
      </c>
      <c r="O88" s="136"/>
      <c r="P88" s="137" t="str">
        <f>'ADU-75'!$B$5</f>
        <v>A faire</v>
      </c>
      <c r="Q88" s="140">
        <f>'ADU-75'!$B$16</f>
        <v>2030</v>
      </c>
      <c r="R88" s="283" t="str">
        <f t="shared" si="91"/>
        <v/>
      </c>
      <c r="S88" s="138">
        <f t="shared" si="92"/>
        <v>0</v>
      </c>
      <c r="T88" s="138">
        <f t="shared" si="93"/>
        <v>0</v>
      </c>
      <c r="U88" s="138">
        <f t="shared" si="94"/>
        <v>0</v>
      </c>
      <c r="V88" s="138">
        <f t="shared" si="95"/>
        <v>0</v>
      </c>
      <c r="W88" s="138">
        <f t="shared" si="96"/>
        <v>0</v>
      </c>
      <c r="X88" s="138">
        <f t="shared" si="97"/>
        <v>0</v>
      </c>
      <c r="Y88" s="138">
        <f t="shared" si="98"/>
        <v>0</v>
      </c>
      <c r="AA88" s="287">
        <f>IF(('Synthèse PER'!P88="A faire")*AND('Synthèse PER'!F88="Agriculture"),'Synthèse PER'!H88,0)</f>
        <v>48400</v>
      </c>
      <c r="AB88" s="287">
        <f>IF(('Synthèse PER'!P88="A faire")*AND('Synthèse PER'!F88="Industrie"),'Synthèse PER'!H88,0)</f>
        <v>0</v>
      </c>
      <c r="AC88" s="287">
        <f>IF(('Synthèse PER'!P88="A faire")*AND('Synthèse PER'!F88="Citoyen"),'Synthèse PER'!H88,0)</f>
        <v>0</v>
      </c>
      <c r="AD88" s="287">
        <f>IF(('Synthèse PER'!P88="A faire")*AND('Synthèse PER'!F88="IDELUX"),'Synthèse PER'!H88,0)</f>
        <v>0</v>
      </c>
      <c r="AE88" s="290">
        <f>IF(('Synthèse PER'!P88="A faire")*AND('Synthèse PER'!F88="AC MESSANCY"),'Synthèse PER'!H88,0)</f>
        <v>0</v>
      </c>
      <c r="AF88" s="287">
        <f>IF(('Synthèse PER'!P88="A faire")*AND('Synthèse PER'!F88="Tertiaire"),'Synthèse PER'!H88,0)</f>
        <v>0</v>
      </c>
      <c r="AG88" s="288"/>
      <c r="AH88" s="290">
        <f>IF(('Synthèse PER'!P88="A faire")*AND('Synthèse PER'!F88="Agriculture"),'Synthèse PER'!J88,0)</f>
        <v>0</v>
      </c>
      <c r="AI88" s="290">
        <f>IF(('Synthèse PER'!P88="A faire")*AND('Synthèse PER'!F88="Industrie"),'Synthèse PER'!J88,0)</f>
        <v>0</v>
      </c>
      <c r="AJ88" s="290">
        <f>IF(('Synthèse PER'!P88="A faire")*AND('Synthèse PER'!F88="Citoyen"),'Synthèse PER'!J88,0)</f>
        <v>0</v>
      </c>
      <c r="AK88" s="290">
        <f>IF(('Synthèse PER'!P88="A faire")*AND('Synthèse PER'!F88="IDELUX"),'Synthèse PER'!J88,0)</f>
        <v>0</v>
      </c>
      <c r="AL88" s="290">
        <f>IF(('Synthèse PER'!P88="A faire")*AND('Synthèse PER'!F88="AC MESSANCY"),'Synthèse PER'!J88,0)</f>
        <v>0</v>
      </c>
      <c r="AM88" s="290">
        <f>IF(('Synthèse PER'!P88="A faire")*AND('Synthèse PER'!F88="Tertiaire"),'Synthèse PER'!J88,0)</f>
        <v>0</v>
      </c>
      <c r="AN88" s="288"/>
      <c r="AO88" s="290">
        <f>IF(('Synthèse PER'!P88="A faire")*AND('Synthèse PER'!E88="Territoire"),'Synthèse PER'!H88,0)</f>
        <v>0</v>
      </c>
      <c r="AP88" s="290">
        <f>IF(('Synthèse PER'!P88="A faire")*AND('Synthèse PER'!E88="Agriculture"),'Synthèse PER'!H88,0)</f>
        <v>48400</v>
      </c>
      <c r="AQ88" s="290">
        <f>IF(('Synthèse PER'!P88="A faire")*AND('Synthèse PER'!E88="Industrie"),'Synthèse PER'!H88,0)</f>
        <v>0</v>
      </c>
      <c r="AR88" s="290">
        <f>IF(('Synthèse PER'!P88="A faire")*AND('Synthèse PER'!E88="Logement"),'Synthèse PER'!H88,0)</f>
        <v>0</v>
      </c>
      <c r="AS88" s="290">
        <f>IF(('Synthèse PER'!P88="A faire")*AND('Synthèse PER'!E88="Tertiaire"),'Synthèse PER'!H88,0)</f>
        <v>0</v>
      </c>
      <c r="AT88" s="290">
        <f>IF(('Synthèse PER'!P88="A faire")*AND('Synthèse PER'!E88="Transport"),'Synthèse PER'!H88,0)</f>
        <v>0</v>
      </c>
      <c r="AU88" s="290">
        <f>IF(('Synthèse PER'!P88="A faire")*AND('Synthèse PER'!E88="Communal"),'Synthèse PER'!H88,0)</f>
        <v>0</v>
      </c>
      <c r="AV88" s="288"/>
      <c r="AW88" s="290">
        <f>IF(('Synthèse PER'!P88="A faire")*AND('Synthèse PER'!E88="Territoire"),'Synthèse PER'!J88,0)</f>
        <v>0</v>
      </c>
      <c r="AX88" s="290">
        <f>IF(('Synthèse PER'!P88="A faire")*AND('Synthèse PER'!E88="Agriculture"),'Synthèse PER'!J88,0)</f>
        <v>0</v>
      </c>
      <c r="AY88" s="290">
        <f>IF(('Synthèse PER'!P88="A faire")*AND('Synthèse PER'!E88="Industrie"),'Synthèse PER'!J88,0)</f>
        <v>0</v>
      </c>
      <c r="AZ88" s="290">
        <f>IF(('Synthèse PER'!P88="A faire")*AND('Synthèse PER'!E88="Logement"),'Synthèse PER'!J88,0)</f>
        <v>0</v>
      </c>
      <c r="BA88" s="290">
        <f>IF(('Synthèse PER'!P88="A faire")*AND('Synthèse PER'!E88="Tertiaire"),'Synthèse PER'!J88,0)</f>
        <v>0</v>
      </c>
      <c r="BB88" s="290">
        <f>IF(('Synthèse PER'!P88="A faire")*AND('Synthèse PER'!E88="Transport"),'Synthèse PER'!J88,0)</f>
        <v>0</v>
      </c>
      <c r="BC88" s="290">
        <f>IF(('Synthèse PER'!P88="A faire")*AND('Synthèse PER'!E88="Communal"),'Synthèse PER'!J88,0)</f>
        <v>0</v>
      </c>
      <c r="BD88" s="288"/>
      <c r="BE88" s="290">
        <f>IF(('Synthèse PER'!P88="A faire")*AND('Synthèse PER'!E88="Territoire"),'Synthèse PER'!K88,0)</f>
        <v>0</v>
      </c>
      <c r="BF88" s="290">
        <f>IF(('Synthèse PER'!P88="A faire")*AND('Synthèse PER'!E88="Agriculture"),'Synthèse PER'!K88,0)</f>
        <v>3600</v>
      </c>
      <c r="BG88" s="290">
        <f>IF(('Synthèse PER'!P88="A faire")*AND('Synthèse PER'!E88="Industrie"),'Synthèse PER'!K88,0)</f>
        <v>0</v>
      </c>
      <c r="BH88" s="290">
        <f>IF(('Synthèse PER'!P88="A faire")*AND('Synthèse PER'!E88="Logement"),'Synthèse PER'!K88,0)</f>
        <v>0</v>
      </c>
      <c r="BI88" s="290">
        <f>IF(('Synthèse PER'!P88="A faire")*AND('Synthèse PER'!E88="Tertiaire"),'Synthèse PER'!K88,0)</f>
        <v>0</v>
      </c>
      <c r="BJ88" s="290">
        <f>IF(('Synthèse PER'!P88="A faire")*AND('Synthèse PER'!E88="Transport"),'Synthèse PER'!K88,0)</f>
        <v>0</v>
      </c>
      <c r="BK88" s="290">
        <f>IF(('Synthèse PER'!P88="A faire")*AND('Synthèse PER'!E88="Communal"),'Synthèse PER'!K88,0)</f>
        <v>0</v>
      </c>
      <c r="BL88" s="288"/>
      <c r="BM88" s="290">
        <f>IF(('Synthèse PER'!P88="A faire")*AND('Synthèse PER'!E88="Territoire"),'Synthèse PER'!L88,0)</f>
        <v>0</v>
      </c>
      <c r="BN88" s="290">
        <f>IF(('Synthèse PER'!P88="A faire")*AND('Synthèse PER'!E88="Agriculture"),'Synthèse PER'!L88,0)</f>
        <v>2808</v>
      </c>
      <c r="BO88" s="290">
        <f>IF(('Synthèse PER'!P88="A faire")*AND('Synthèse PER'!E88="Industrie"),'Synthèse PER'!L88,0)</f>
        <v>0</v>
      </c>
      <c r="BP88" s="290">
        <f>IF(('Synthèse PER'!P88="A faire")*AND('Synthèse PER'!E88="Logement"),'Synthèse PER'!L88,0)</f>
        <v>0</v>
      </c>
      <c r="BQ88" s="290">
        <f>IF(('Synthèse PER'!P88="A faire")*AND('Synthèse PER'!E88="Tertiaire"),'Synthèse PER'!L88,0)</f>
        <v>0</v>
      </c>
      <c r="BR88" s="290">
        <f>IF(('Synthèse PER'!P88="A faire")*AND('Synthèse PER'!E88="Transport"),'Synthèse PER'!L88,0)</f>
        <v>0</v>
      </c>
      <c r="BS88" s="290">
        <f>IF(('Synthèse PER'!P88="A faire")*AND('Synthèse PER'!E88="Communal"),'Synthèse PER'!L88,0)</f>
        <v>0</v>
      </c>
      <c r="BT88" s="290">
        <f>IF(('Synthèse PER'!Q88="A faire")*AND('Synthèse PER'!F88="Communal"),'Synthèse PER'!M88,0)</f>
        <v>0</v>
      </c>
    </row>
    <row r="89" spans="1:72" s="139" customFormat="1" x14ac:dyDescent="0.25">
      <c r="A89" s="369" t="s">
        <v>799</v>
      </c>
      <c r="B89" s="414" t="str">
        <f>'ADU-76'!B$3:E$3</f>
        <v>ER Electricité</v>
      </c>
      <c r="C89" s="419" t="str">
        <f>'ADU-76'!$B$8</f>
        <v>Bâtiments tertiaires</v>
      </c>
      <c r="D89" s="133" t="str">
        <f>'ADU-76'!$B$9</f>
        <v>Phv &lt;  10 kWc</v>
      </c>
      <c r="E89" s="133" t="str">
        <f>'ADU-76'!$B$4</f>
        <v>Tertiaire</v>
      </c>
      <c r="F89" s="133" t="str">
        <f>'ADU-76'!$B$12</f>
        <v>Tertiaire</v>
      </c>
      <c r="G89" s="133" t="str">
        <f>'ADU-76'!$B$6</f>
        <v>Fonds propres</v>
      </c>
      <c r="H89" s="134">
        <f>'ADU-76'!$B$17</f>
        <v>77343.000000000015</v>
      </c>
      <c r="I89" s="133" t="str">
        <f>'ADU-76'!$B$7</f>
        <v>Primes RW</v>
      </c>
      <c r="J89" s="134">
        <f>'ADU-76'!$B$18</f>
        <v>49993.000000000015</v>
      </c>
      <c r="K89" s="134">
        <f>'ADU-76'!$B$21</f>
        <v>22500</v>
      </c>
      <c r="L89" s="134">
        <f>'ADU-76'!$B$22</f>
        <v>0</v>
      </c>
      <c r="M89" s="135">
        <f>'ADU-76'!$B$24</f>
        <v>1.2155555555555555</v>
      </c>
      <c r="N89" s="135">
        <f>'ADU-76'!$B$19/1000</f>
        <v>0</v>
      </c>
      <c r="O89" s="136"/>
      <c r="P89" s="137" t="str">
        <f>'ADU-76'!$B$5</f>
        <v>A faire</v>
      </c>
      <c r="Q89" s="140">
        <f>'ADU-76'!$B$16</f>
        <v>2030</v>
      </c>
      <c r="R89" s="283" t="str">
        <f t="shared" si="91"/>
        <v/>
      </c>
      <c r="S89" s="138">
        <f t="shared" si="92"/>
        <v>0</v>
      </c>
      <c r="T89" s="138">
        <f t="shared" si="93"/>
        <v>0</v>
      </c>
      <c r="U89" s="138">
        <f t="shared" si="94"/>
        <v>0</v>
      </c>
      <c r="V89" s="138">
        <f t="shared" si="95"/>
        <v>0</v>
      </c>
      <c r="W89" s="138">
        <f t="shared" si="96"/>
        <v>0</v>
      </c>
      <c r="X89" s="138">
        <f t="shared" si="97"/>
        <v>0</v>
      </c>
      <c r="Y89" s="138">
        <f t="shared" si="98"/>
        <v>0</v>
      </c>
      <c r="AA89" s="287">
        <f>IF(('Synthèse PER'!P89="A faire")*AND('Synthèse PER'!F89="Agriculture"),'Synthèse PER'!H89,0)</f>
        <v>0</v>
      </c>
      <c r="AB89" s="287">
        <f>IF(('Synthèse PER'!P89="A faire")*AND('Synthèse PER'!F89="Industrie"),'Synthèse PER'!H89,0)</f>
        <v>0</v>
      </c>
      <c r="AC89" s="287">
        <f>IF(('Synthèse PER'!P89="A faire")*AND('Synthèse PER'!F89="Citoyen"),'Synthèse PER'!H89,0)</f>
        <v>0</v>
      </c>
      <c r="AD89" s="287">
        <f>IF(('Synthèse PER'!P89="A faire")*AND('Synthèse PER'!F89="IDELUX"),'Synthèse PER'!H89,0)</f>
        <v>0</v>
      </c>
      <c r="AE89" s="290">
        <f>IF(('Synthèse PER'!P89="A faire")*AND('Synthèse PER'!F89="AC MESSANCY"),'Synthèse PER'!H89,0)</f>
        <v>0</v>
      </c>
      <c r="AF89" s="287">
        <f>IF(('Synthèse PER'!P89="A faire")*AND('Synthèse PER'!F89="Tertiaire"),'Synthèse PER'!H89,0)</f>
        <v>77343.000000000015</v>
      </c>
      <c r="AG89" s="288"/>
      <c r="AH89" s="290">
        <f>IF(('Synthèse PER'!P89="A faire")*AND('Synthèse PER'!F89="Agriculture"),'Synthèse PER'!J89,0)</f>
        <v>0</v>
      </c>
      <c r="AI89" s="290">
        <f>IF(('Synthèse PER'!P89="A faire")*AND('Synthèse PER'!F89="Industrie"),'Synthèse PER'!J89,0)</f>
        <v>0</v>
      </c>
      <c r="AJ89" s="290">
        <f>IF(('Synthèse PER'!P89="A faire")*AND('Synthèse PER'!F89="Citoyen"),'Synthèse PER'!J89,0)</f>
        <v>0</v>
      </c>
      <c r="AK89" s="290">
        <f>IF(('Synthèse PER'!P89="A faire")*AND('Synthèse PER'!F89="IDELUX"),'Synthèse PER'!J89,0)</f>
        <v>0</v>
      </c>
      <c r="AL89" s="290">
        <f>IF(('Synthèse PER'!P89="A faire")*AND('Synthèse PER'!F89="AC MESSANCY"),'Synthèse PER'!J89,0)</f>
        <v>0</v>
      </c>
      <c r="AM89" s="290">
        <f>IF(('Synthèse PER'!P89="A faire")*AND('Synthèse PER'!F89="Tertiaire"),'Synthèse PER'!J89,0)</f>
        <v>49993.000000000015</v>
      </c>
      <c r="AN89" s="288"/>
      <c r="AO89" s="290">
        <f>IF(('Synthèse PER'!P89="A faire")*AND('Synthèse PER'!E89="Territoire"),'Synthèse PER'!H89,0)</f>
        <v>0</v>
      </c>
      <c r="AP89" s="290">
        <f>IF(('Synthèse PER'!P89="A faire")*AND('Synthèse PER'!E89="Agriculture"),'Synthèse PER'!H89,0)</f>
        <v>0</v>
      </c>
      <c r="AQ89" s="290">
        <f>IF(('Synthèse PER'!P89="A faire")*AND('Synthèse PER'!E89="Industrie"),'Synthèse PER'!H89,0)</f>
        <v>0</v>
      </c>
      <c r="AR89" s="290">
        <f>IF(('Synthèse PER'!P89="A faire")*AND('Synthèse PER'!E89="Logement"),'Synthèse PER'!H89,0)</f>
        <v>0</v>
      </c>
      <c r="AS89" s="290">
        <f>IF(('Synthèse PER'!P89="A faire")*AND('Synthèse PER'!E89="Tertiaire"),'Synthèse PER'!H89,0)</f>
        <v>77343.000000000015</v>
      </c>
      <c r="AT89" s="290">
        <f>IF(('Synthèse PER'!P89="A faire")*AND('Synthèse PER'!E89="Transport"),'Synthèse PER'!H89,0)</f>
        <v>0</v>
      </c>
      <c r="AU89" s="290">
        <f>IF(('Synthèse PER'!P89="A faire")*AND('Synthèse PER'!E89="Communal"),'Synthèse PER'!H89,0)</f>
        <v>0</v>
      </c>
      <c r="AV89" s="288"/>
      <c r="AW89" s="290">
        <f>IF(('Synthèse PER'!P89="A faire")*AND('Synthèse PER'!E89="Territoire"),'Synthèse PER'!J89,0)</f>
        <v>0</v>
      </c>
      <c r="AX89" s="290">
        <f>IF(('Synthèse PER'!P89="A faire")*AND('Synthèse PER'!E89="Agriculture"),'Synthèse PER'!J89,0)</f>
        <v>0</v>
      </c>
      <c r="AY89" s="290">
        <f>IF(('Synthèse PER'!P89="A faire")*AND('Synthèse PER'!E89="Industrie"),'Synthèse PER'!J89,0)</f>
        <v>0</v>
      </c>
      <c r="AZ89" s="290">
        <f>IF(('Synthèse PER'!P89="A faire")*AND('Synthèse PER'!E89="Logement"),'Synthèse PER'!J89,0)</f>
        <v>0</v>
      </c>
      <c r="BA89" s="290">
        <f>IF(('Synthèse PER'!P89="A faire")*AND('Synthèse PER'!E89="Tertiaire"),'Synthèse PER'!J89,0)</f>
        <v>49993.000000000015</v>
      </c>
      <c r="BB89" s="290">
        <f>IF(('Synthèse PER'!P89="A faire")*AND('Synthèse PER'!E89="Transport"),'Synthèse PER'!J89,0)</f>
        <v>0</v>
      </c>
      <c r="BC89" s="290">
        <f>IF(('Synthèse PER'!P89="A faire")*AND('Synthèse PER'!E89="Communal"),'Synthèse PER'!J89,0)</f>
        <v>0</v>
      </c>
      <c r="BD89" s="288"/>
      <c r="BE89" s="290">
        <f>IF(('Synthèse PER'!P89="A faire")*AND('Synthèse PER'!E89="Territoire"),'Synthèse PER'!K89,0)</f>
        <v>0</v>
      </c>
      <c r="BF89" s="290">
        <f>IF(('Synthèse PER'!P89="A faire")*AND('Synthèse PER'!E89="Agriculture"),'Synthèse PER'!K89,0)</f>
        <v>0</v>
      </c>
      <c r="BG89" s="290">
        <f>IF(('Synthèse PER'!P89="A faire")*AND('Synthèse PER'!E89="Industrie"),'Synthèse PER'!K89,0)</f>
        <v>0</v>
      </c>
      <c r="BH89" s="290">
        <f>IF(('Synthèse PER'!P89="A faire")*AND('Synthèse PER'!E89="Logement"),'Synthèse PER'!K89,0)</f>
        <v>0</v>
      </c>
      <c r="BI89" s="290">
        <f>IF(('Synthèse PER'!P89="A faire")*AND('Synthèse PER'!E89="Tertiaire"),'Synthèse PER'!K89,0)</f>
        <v>22500</v>
      </c>
      <c r="BJ89" s="290">
        <f>IF(('Synthèse PER'!P89="A faire")*AND('Synthèse PER'!E89="Transport"),'Synthèse PER'!K89,0)</f>
        <v>0</v>
      </c>
      <c r="BK89" s="290">
        <f>IF(('Synthèse PER'!P89="A faire")*AND('Synthèse PER'!E89="Communal"),'Synthèse PER'!K89,0)</f>
        <v>0</v>
      </c>
      <c r="BL89" s="288"/>
      <c r="BM89" s="290">
        <f>IF(('Synthèse PER'!P89="A faire")*AND('Synthèse PER'!E89="Territoire"),'Synthèse PER'!L89,0)</f>
        <v>0</v>
      </c>
      <c r="BN89" s="290">
        <f>IF(('Synthèse PER'!P89="A faire")*AND('Synthèse PER'!E89="Agriculture"),'Synthèse PER'!L89,0)</f>
        <v>0</v>
      </c>
      <c r="BO89" s="290">
        <f>IF(('Synthèse PER'!P89="A faire")*AND('Synthèse PER'!E89="Industrie"),'Synthèse PER'!L89,0)</f>
        <v>0</v>
      </c>
      <c r="BP89" s="290">
        <f>IF(('Synthèse PER'!P89="A faire")*AND('Synthèse PER'!E89="Logement"),'Synthèse PER'!L89,0)</f>
        <v>0</v>
      </c>
      <c r="BQ89" s="290">
        <f>IF(('Synthèse PER'!P89="A faire")*AND('Synthèse PER'!E89="Tertiaire"),'Synthèse PER'!L89,0)</f>
        <v>0</v>
      </c>
      <c r="BR89" s="290">
        <f>IF(('Synthèse PER'!P89="A faire")*AND('Synthèse PER'!E89="Transport"),'Synthèse PER'!L89,0)</f>
        <v>0</v>
      </c>
      <c r="BS89" s="290">
        <f>IF(('Synthèse PER'!P89="A faire")*AND('Synthèse PER'!E89="Communal"),'Synthèse PER'!L89,0)</f>
        <v>0</v>
      </c>
      <c r="BT89" s="290">
        <f>IF(('Synthèse PER'!Q89="A faire")*AND('Synthèse PER'!F89="Communal"),'Synthèse PER'!M89,0)</f>
        <v>0</v>
      </c>
    </row>
    <row r="90" spans="1:72" s="139" customFormat="1" x14ac:dyDescent="0.25">
      <c r="A90" s="369" t="s">
        <v>844</v>
      </c>
      <c r="B90" s="472" t="str">
        <f>'ADU-77'!B$3:E$3</f>
        <v>ER Electricité</v>
      </c>
      <c r="C90" s="419" t="str">
        <f>'ADU-77'!$B$8</f>
        <v>Bâtiments communaux</v>
      </c>
      <c r="D90" s="133" t="str">
        <f>'ADU-77'!$B$9</f>
        <v xml:space="preserve"> PhV &lt; 10 kWc - existant</v>
      </c>
      <c r="E90" s="133" t="str">
        <f>'ADU-77'!$B$4</f>
        <v>Communal</v>
      </c>
      <c r="F90" s="133" t="str">
        <f>'ADU-77'!$B$12</f>
        <v>AC MESSANCY</v>
      </c>
      <c r="G90" s="133" t="str">
        <f>'ADU-77'!$B$6</f>
        <v>Fonds propres</v>
      </c>
      <c r="H90" s="134">
        <f>'ADU-77'!$B$17</f>
        <v>37800</v>
      </c>
      <c r="I90" s="133" t="str">
        <f>'ADU-77'!$B$7</f>
        <v>Primes RW</v>
      </c>
      <c r="J90" s="134">
        <f>'ADU-77'!$B$18</f>
        <v>1872</v>
      </c>
      <c r="K90" s="134">
        <f>'ADU-77'!$B$21</f>
        <v>6804</v>
      </c>
      <c r="L90" s="134">
        <f>'ADU-77'!$B$22</f>
        <v>7371</v>
      </c>
      <c r="M90" s="135">
        <f>'ADU-77'!$B$24</f>
        <v>2.5346031746031747</v>
      </c>
      <c r="N90" s="135">
        <f>'ADU-77'!$B$19/1000</f>
        <v>0</v>
      </c>
      <c r="O90" s="136"/>
      <c r="P90" s="137" t="str">
        <f>'ADU-77'!$B$5</f>
        <v>Terminé</v>
      </c>
      <c r="Q90" s="140">
        <f>'ADU-77'!$B$16</f>
        <v>2018</v>
      </c>
      <c r="R90" s="283">
        <f>IF(P90="terminé", N90,"")</f>
        <v>0</v>
      </c>
      <c r="S90" s="138">
        <f t="shared" si="92"/>
        <v>0</v>
      </c>
      <c r="T90" s="138">
        <f t="shared" si="93"/>
        <v>0</v>
      </c>
      <c r="U90" s="138">
        <f t="shared" si="94"/>
        <v>0</v>
      </c>
      <c r="V90" s="138">
        <f t="shared" si="95"/>
        <v>0</v>
      </c>
      <c r="W90" s="138">
        <f t="shared" si="96"/>
        <v>0</v>
      </c>
      <c r="X90" s="138">
        <f t="shared" si="97"/>
        <v>0</v>
      </c>
      <c r="Y90" s="138">
        <f t="shared" si="98"/>
        <v>0</v>
      </c>
      <c r="AA90" s="287">
        <f>IF(('Synthèse PER'!P90="A faire")*AND('Synthèse PER'!F90="Agriculture"),'Synthèse PER'!H90,0)</f>
        <v>0</v>
      </c>
      <c r="AB90" s="287">
        <f>IF(('Synthèse PER'!P90="A faire")*AND('Synthèse PER'!F90="Industrie"),'Synthèse PER'!H90,0)</f>
        <v>0</v>
      </c>
      <c r="AC90" s="287">
        <f>IF(('Synthèse PER'!P90="A faire")*AND('Synthèse PER'!F90="Citoyen"),'Synthèse PER'!H90,0)</f>
        <v>0</v>
      </c>
      <c r="AD90" s="287">
        <f>IF(('Synthèse PER'!P90="A faire")*AND('Synthèse PER'!F90="IDELUX"),'Synthèse PER'!H90,0)</f>
        <v>0</v>
      </c>
      <c r="AE90" s="290">
        <f>IF(('Synthèse PER'!P90="A faire")*AND('Synthèse PER'!F90="AC MESSANCY"),'Synthèse PER'!H90,0)</f>
        <v>0</v>
      </c>
      <c r="AF90" s="287">
        <f>IF(('Synthèse PER'!P90="A faire")*AND('Synthèse PER'!F90="Tertiaire"),'Synthèse PER'!H90,0)</f>
        <v>0</v>
      </c>
      <c r="AG90" s="288"/>
      <c r="AH90" s="290">
        <f>IF(('Synthèse PER'!P90="A faire")*AND('Synthèse PER'!F90="Agriculture"),'Synthèse PER'!J90,0)</f>
        <v>0</v>
      </c>
      <c r="AI90" s="290">
        <f>IF(('Synthèse PER'!P90="A faire")*AND('Synthèse PER'!F90="Industrie"),'Synthèse PER'!J90,0)</f>
        <v>0</v>
      </c>
      <c r="AJ90" s="290">
        <f>IF(('Synthèse PER'!P90="A faire")*AND('Synthèse PER'!F90="Citoyen"),'Synthèse PER'!J90,0)</f>
        <v>0</v>
      </c>
      <c r="AK90" s="290">
        <f>IF(('Synthèse PER'!P90="A faire")*AND('Synthèse PER'!F90="IDELUX"),'Synthèse PER'!J90,0)</f>
        <v>0</v>
      </c>
      <c r="AL90" s="290">
        <f>IF(('Synthèse PER'!P90="A faire")*AND('Synthèse PER'!F90="AC MESSANCY"),'Synthèse PER'!J90,0)</f>
        <v>0</v>
      </c>
      <c r="AM90" s="290">
        <f>IF(('Synthèse PER'!P90="A faire")*AND('Synthèse PER'!F90="Tertiaire"),'Synthèse PER'!J90,0)</f>
        <v>0</v>
      </c>
      <c r="AN90" s="288"/>
      <c r="AO90" s="290">
        <f>IF(('Synthèse PER'!P90="A faire")*AND('Synthèse PER'!E90="Territoire"),'Synthèse PER'!H90,0)</f>
        <v>0</v>
      </c>
      <c r="AP90" s="290">
        <f>IF(('Synthèse PER'!P90="A faire")*AND('Synthèse PER'!E90="Agriculture"),'Synthèse PER'!H90,0)</f>
        <v>0</v>
      </c>
      <c r="AQ90" s="290">
        <f>IF(('Synthèse PER'!P90="A faire")*AND('Synthèse PER'!E90="Industrie"),'Synthèse PER'!H90,0)</f>
        <v>0</v>
      </c>
      <c r="AR90" s="290">
        <f>IF(('Synthèse PER'!P90="A faire")*AND('Synthèse PER'!E90="Logement"),'Synthèse PER'!H90,0)</f>
        <v>0</v>
      </c>
      <c r="AS90" s="290">
        <f>IF(('Synthèse PER'!P90="A faire")*AND('Synthèse PER'!E90="Tertiaire"),'Synthèse PER'!H90,0)</f>
        <v>0</v>
      </c>
      <c r="AT90" s="290">
        <f>IF(('Synthèse PER'!P90="A faire")*AND('Synthèse PER'!E90="Transport"),'Synthèse PER'!H90,0)</f>
        <v>0</v>
      </c>
      <c r="AU90" s="290">
        <f>IF(('Synthèse PER'!P90="A faire")*AND('Synthèse PER'!E90="Communal"),'Synthèse PER'!H90,0)</f>
        <v>0</v>
      </c>
      <c r="AV90" s="288"/>
      <c r="AW90" s="290">
        <f>IF(('Synthèse PER'!P90="A faire")*AND('Synthèse PER'!E90="Territoire"),'Synthèse PER'!J90,0)</f>
        <v>0</v>
      </c>
      <c r="AX90" s="290">
        <f>IF(('Synthèse PER'!P90="A faire")*AND('Synthèse PER'!E90="Agriculture"),'Synthèse PER'!J90,0)</f>
        <v>0</v>
      </c>
      <c r="AY90" s="290">
        <f>IF(('Synthèse PER'!P90="A faire")*AND('Synthèse PER'!E90="Industrie"),'Synthèse PER'!J90,0)</f>
        <v>0</v>
      </c>
      <c r="AZ90" s="290">
        <f>IF(('Synthèse PER'!P90="A faire")*AND('Synthèse PER'!E90="Logement"),'Synthèse PER'!J90,0)</f>
        <v>0</v>
      </c>
      <c r="BA90" s="290">
        <f>IF(('Synthèse PER'!P90="A faire")*AND('Synthèse PER'!E90="Tertiaire"),'Synthèse PER'!J90,0)</f>
        <v>0</v>
      </c>
      <c r="BB90" s="290">
        <f>IF(('Synthèse PER'!P90="A faire")*AND('Synthèse PER'!E90="Transport"),'Synthèse PER'!J90,0)</f>
        <v>0</v>
      </c>
      <c r="BC90" s="290">
        <f>IF(('Synthèse PER'!P90="A faire")*AND('Synthèse PER'!E90="Communal"),'Synthèse PER'!J90,0)</f>
        <v>0</v>
      </c>
      <c r="BD90" s="288"/>
      <c r="BE90" s="290">
        <f>IF(('Synthèse PER'!P90="A faire")*AND('Synthèse PER'!E90="Territoire"),'Synthèse PER'!K90,0)</f>
        <v>0</v>
      </c>
      <c r="BF90" s="290">
        <f>IF(('Synthèse PER'!P90="A faire")*AND('Synthèse PER'!E90="Agriculture"),'Synthèse PER'!K90,0)</f>
        <v>0</v>
      </c>
      <c r="BG90" s="290">
        <f>IF(('Synthèse PER'!P90="A faire")*AND('Synthèse PER'!E90="Industrie"),'Synthèse PER'!K90,0)</f>
        <v>0</v>
      </c>
      <c r="BH90" s="290">
        <f>IF(('Synthèse PER'!P90="A faire")*AND('Synthèse PER'!E90="Logement"),'Synthèse PER'!K90,0)</f>
        <v>0</v>
      </c>
      <c r="BI90" s="290">
        <f>IF(('Synthèse PER'!P90="A faire")*AND('Synthèse PER'!E90="Tertiaire"),'Synthèse PER'!K90,0)</f>
        <v>0</v>
      </c>
      <c r="BJ90" s="290">
        <f>IF(('Synthèse PER'!P90="A faire")*AND('Synthèse PER'!E90="Transport"),'Synthèse PER'!K90,0)</f>
        <v>0</v>
      </c>
      <c r="BK90" s="290">
        <f>IF(('Synthèse PER'!P90="A faire")*AND('Synthèse PER'!E90="Communal"),'Synthèse PER'!K90,0)</f>
        <v>0</v>
      </c>
      <c r="BL90" s="288"/>
      <c r="BM90" s="290">
        <f>IF(('Synthèse PER'!P90="A faire")*AND('Synthèse PER'!E90="Territoire"),'Synthèse PER'!L90,0)</f>
        <v>0</v>
      </c>
      <c r="BN90" s="290">
        <f>IF(('Synthèse PER'!P90="A faire")*AND('Synthèse PER'!E90="Agriculture"),'Synthèse PER'!L90,0)</f>
        <v>0</v>
      </c>
      <c r="BO90" s="290">
        <f>IF(('Synthèse PER'!P90="A faire")*AND('Synthèse PER'!E90="Industrie"),'Synthèse PER'!L90,0)</f>
        <v>0</v>
      </c>
      <c r="BP90" s="290">
        <f>IF(('Synthèse PER'!P90="A faire")*AND('Synthèse PER'!E90="Logement"),'Synthèse PER'!L90,0)</f>
        <v>0</v>
      </c>
      <c r="BQ90" s="290">
        <f>IF(('Synthèse PER'!P90="A faire")*AND('Synthèse PER'!E90="Tertiaire"),'Synthèse PER'!L90,0)</f>
        <v>0</v>
      </c>
      <c r="BR90" s="290">
        <f>IF(('Synthèse PER'!P90="A faire")*AND('Synthèse PER'!E90="Transport"),'Synthèse PER'!L90,0)</f>
        <v>0</v>
      </c>
      <c r="BS90" s="290">
        <f>IF(('Synthèse PER'!P90="A faire")*AND('Synthèse PER'!E90="Communal"),'Synthèse PER'!L90,0)</f>
        <v>0</v>
      </c>
      <c r="BT90" s="290">
        <f>IF(('Synthèse PER'!Q90="A faire")*AND('Synthèse PER'!F90="Communal"),'Synthèse PER'!M90,0)</f>
        <v>0</v>
      </c>
    </row>
    <row r="91" spans="1:72" s="139" customFormat="1" x14ac:dyDescent="0.25">
      <c r="A91" s="369" t="s">
        <v>798</v>
      </c>
      <c r="B91" s="414" t="str">
        <f>'ADU-80'!B$3:E$3</f>
        <v>ER Electricité</v>
      </c>
      <c r="C91" s="419" t="str">
        <f>'ADU-123'!$B$8</f>
        <v>Production de combustible biomasse</v>
      </c>
      <c r="D91" s="133" t="str">
        <f>'ADU-80'!$B$9</f>
        <v>Participation parcs éoliens</v>
      </c>
      <c r="E91" s="133" t="str">
        <f>'ADU-80'!$B$4</f>
        <v>Territoire</v>
      </c>
      <c r="F91" s="133" t="str">
        <f>'ADU-80'!$B$12</f>
        <v>AC MESSANCY</v>
      </c>
      <c r="G91" s="133" t="str">
        <f>'ADU-80'!$B$6</f>
        <v>Montage</v>
      </c>
      <c r="H91" s="134">
        <f>'ADU-80'!$B$17</f>
        <v>447079.82401005662</v>
      </c>
      <c r="I91" s="133" t="str">
        <f>'ADU-80'!$B$7</f>
        <v>Subs RW</v>
      </c>
      <c r="J91" s="134">
        <f>'ADU-80'!$B$18</f>
        <v>134123.94720301699</v>
      </c>
      <c r="K91" s="134">
        <f>'ADU-80'!$B$21</f>
        <v>12695.301907515492</v>
      </c>
      <c r="L91" s="134">
        <f>'ADU-80'!$B$22</f>
        <v>0</v>
      </c>
      <c r="M91" s="135">
        <f>'ADU-80'!$B$24</f>
        <v>24.651314248916982</v>
      </c>
      <c r="N91" s="135">
        <f>'ADU-80'!$B$19/1000</f>
        <v>0</v>
      </c>
      <c r="O91" s="136">
        <f>IF(H91=0,0,N91/(H91-J91)*1000)</f>
        <v>0</v>
      </c>
      <c r="P91" s="137" t="str">
        <f>'ADU-80'!$B$5</f>
        <v>Terminé</v>
      </c>
      <c r="Q91" s="140">
        <f>'ADU-80'!$B$16</f>
        <v>2015</v>
      </c>
      <c r="R91" s="284">
        <f t="shared" si="91"/>
        <v>0</v>
      </c>
      <c r="S91" s="138">
        <f t="shared" si="92"/>
        <v>0</v>
      </c>
      <c r="T91" s="138">
        <f t="shared" si="93"/>
        <v>0</v>
      </c>
      <c r="U91" s="138">
        <f t="shared" si="94"/>
        <v>0</v>
      </c>
      <c r="V91" s="138">
        <f t="shared" si="95"/>
        <v>0</v>
      </c>
      <c r="W91" s="138">
        <f t="shared" si="96"/>
        <v>0</v>
      </c>
      <c r="X91" s="138">
        <f t="shared" si="97"/>
        <v>0</v>
      </c>
      <c r="Y91" s="138">
        <f t="shared" si="98"/>
        <v>0</v>
      </c>
      <c r="AA91" s="287">
        <f>IF(('Synthèse PER'!P91="A faire")*AND('Synthèse PER'!F91="Agriculture"),'Synthèse PER'!H91,0)</f>
        <v>0</v>
      </c>
      <c r="AB91" s="287">
        <f>IF(('Synthèse PER'!P91="A faire")*AND('Synthèse PER'!F91="Industrie"),'Synthèse PER'!H91,0)</f>
        <v>0</v>
      </c>
      <c r="AC91" s="287">
        <f>IF(('Synthèse PER'!P91="A faire")*AND('Synthèse PER'!F91="Citoyen"),'Synthèse PER'!H91,0)</f>
        <v>0</v>
      </c>
      <c r="AD91" s="287">
        <f>IF(('Synthèse PER'!P91="A faire")*AND('Synthèse PER'!F91="IDELUX"),'Synthèse PER'!H91,0)</f>
        <v>0</v>
      </c>
      <c r="AE91" s="290">
        <f>IF(('Synthèse PER'!P91="A faire")*AND('Synthèse PER'!F91="AC MESSANCY"),'Synthèse PER'!H91,0)</f>
        <v>0</v>
      </c>
      <c r="AF91" s="287">
        <f>IF(('Synthèse PER'!P91="A faire")*AND('Synthèse PER'!F91="Tertiaire"),'Synthèse PER'!H91,0)</f>
        <v>0</v>
      </c>
      <c r="AG91" s="288"/>
      <c r="AH91" s="290">
        <f>IF(('Synthèse PER'!P91="A faire")*AND('Synthèse PER'!F91="Agriculture"),'Synthèse PER'!J91,0)</f>
        <v>0</v>
      </c>
      <c r="AI91" s="290">
        <f>IF(('Synthèse PER'!P91="A faire")*AND('Synthèse PER'!F91="Industrie"),'Synthèse PER'!J91,0)</f>
        <v>0</v>
      </c>
      <c r="AJ91" s="290">
        <f>IF(('Synthèse PER'!P91="A faire")*AND('Synthèse PER'!F91="Citoyen"),'Synthèse PER'!J91,0)</f>
        <v>0</v>
      </c>
      <c r="AK91" s="290">
        <f>IF(('Synthèse PER'!P91="A faire")*AND('Synthèse PER'!F91="IDELUX"),'Synthèse PER'!J91,0)</f>
        <v>0</v>
      </c>
      <c r="AL91" s="290">
        <f>IF(('Synthèse PER'!P91="A faire")*AND('Synthèse PER'!F91="AC MESSANCY"),'Synthèse PER'!J91,0)</f>
        <v>0</v>
      </c>
      <c r="AM91" s="290">
        <f>IF(('Synthèse PER'!P91="A faire")*AND('Synthèse PER'!F91="Tertiaire"),'Synthèse PER'!J91,0)</f>
        <v>0</v>
      </c>
      <c r="AN91" s="288"/>
      <c r="AO91" s="290">
        <f>IF(('Synthèse PER'!P91="A faire")*AND('Synthèse PER'!E91="Territoire"),'Synthèse PER'!H91,0)</f>
        <v>0</v>
      </c>
      <c r="AP91" s="290">
        <f>IF(('Synthèse PER'!P91="A faire")*AND('Synthèse PER'!E91="Agriculture"),'Synthèse PER'!H91,0)</f>
        <v>0</v>
      </c>
      <c r="AQ91" s="290">
        <f>IF(('Synthèse PER'!P91="A faire")*AND('Synthèse PER'!E91="Industrie"),'Synthèse PER'!H91,0)</f>
        <v>0</v>
      </c>
      <c r="AR91" s="290">
        <f>IF(('Synthèse PER'!P91="A faire")*AND('Synthèse PER'!E91="Logement"),'Synthèse PER'!H91,0)</f>
        <v>0</v>
      </c>
      <c r="AS91" s="290">
        <f>IF(('Synthèse PER'!P91="A faire")*AND('Synthèse PER'!E91="Tertiaire"),'Synthèse PER'!H91,0)</f>
        <v>0</v>
      </c>
      <c r="AT91" s="290">
        <f>IF(('Synthèse PER'!P91="A faire")*AND('Synthèse PER'!E91="Transport"),'Synthèse PER'!H91,0)</f>
        <v>0</v>
      </c>
      <c r="AU91" s="290">
        <f>IF(('Synthèse PER'!P91="A faire")*AND('Synthèse PER'!E91="Communal"),'Synthèse PER'!H91,0)</f>
        <v>0</v>
      </c>
      <c r="AV91" s="288"/>
      <c r="AW91" s="290">
        <f>IF(('Synthèse PER'!P91="A faire")*AND('Synthèse PER'!E91="Territoire"),'Synthèse PER'!J91,0)</f>
        <v>0</v>
      </c>
      <c r="AX91" s="290">
        <f>IF(('Synthèse PER'!P91="A faire")*AND('Synthèse PER'!E91="Agriculture"),'Synthèse PER'!J91,0)</f>
        <v>0</v>
      </c>
      <c r="AY91" s="290">
        <f>IF(('Synthèse PER'!P91="A faire")*AND('Synthèse PER'!E91="Industrie"),'Synthèse PER'!J91,0)</f>
        <v>0</v>
      </c>
      <c r="AZ91" s="290">
        <f>IF(('Synthèse PER'!P91="A faire")*AND('Synthèse PER'!E91="Logement"),'Synthèse PER'!J91,0)</f>
        <v>0</v>
      </c>
      <c r="BA91" s="290">
        <f>IF(('Synthèse PER'!P91="A faire")*AND('Synthèse PER'!E91="Tertiaire"),'Synthèse PER'!J91,0)</f>
        <v>0</v>
      </c>
      <c r="BB91" s="290">
        <f>IF(('Synthèse PER'!P91="A faire")*AND('Synthèse PER'!E91="Transport"),'Synthèse PER'!J91,0)</f>
        <v>0</v>
      </c>
      <c r="BC91" s="290">
        <f>IF(('Synthèse PER'!P91="A faire")*AND('Synthèse PER'!E91="Communal"),'Synthèse PER'!J91,0)</f>
        <v>0</v>
      </c>
      <c r="BD91" s="288"/>
      <c r="BE91" s="290">
        <f>IF(('Synthèse PER'!P91="A faire")*AND('Synthèse PER'!E91="Territoire"),'Synthèse PER'!K91,0)</f>
        <v>0</v>
      </c>
      <c r="BF91" s="290">
        <f>IF(('Synthèse PER'!P91="A faire")*AND('Synthèse PER'!E91="Agriculture"),'Synthèse PER'!K91,0)</f>
        <v>0</v>
      </c>
      <c r="BG91" s="290">
        <f>IF(('Synthèse PER'!P91="A faire")*AND('Synthèse PER'!E91="Industrie"),'Synthèse PER'!K91,0)</f>
        <v>0</v>
      </c>
      <c r="BH91" s="290">
        <f>IF(('Synthèse PER'!P91="A faire")*AND('Synthèse PER'!E91="Logement"),'Synthèse PER'!K91,0)</f>
        <v>0</v>
      </c>
      <c r="BI91" s="290">
        <f>IF(('Synthèse PER'!P91="A faire")*AND('Synthèse PER'!E91="Tertiaire"),'Synthèse PER'!K91,0)</f>
        <v>0</v>
      </c>
      <c r="BJ91" s="290">
        <f>IF(('Synthèse PER'!P91="A faire")*AND('Synthèse PER'!E91="Transport"),'Synthèse PER'!K91,0)</f>
        <v>0</v>
      </c>
      <c r="BK91" s="290">
        <f>IF(('Synthèse PER'!P91="A faire")*AND('Synthèse PER'!E91="Communal"),'Synthèse PER'!K91,0)</f>
        <v>0</v>
      </c>
      <c r="BL91" s="288"/>
      <c r="BM91" s="290">
        <f>IF(('Synthèse PER'!P91="A faire")*AND('Synthèse PER'!E91="Territoire"),'Synthèse PER'!L91,0)</f>
        <v>0</v>
      </c>
      <c r="BN91" s="290">
        <f>IF(('Synthèse PER'!P91="A faire")*AND('Synthèse PER'!E91="Agriculture"),'Synthèse PER'!L91,0)</f>
        <v>0</v>
      </c>
      <c r="BO91" s="290">
        <f>IF(('Synthèse PER'!P91="A faire")*AND('Synthèse PER'!E91="Industrie"),'Synthèse PER'!L91,0)</f>
        <v>0</v>
      </c>
      <c r="BP91" s="290">
        <f>IF(('Synthèse PER'!P91="A faire")*AND('Synthèse PER'!E91="Logement"),'Synthèse PER'!L91,0)</f>
        <v>0</v>
      </c>
      <c r="BQ91" s="290">
        <f>IF(('Synthèse PER'!P91="A faire")*AND('Synthèse PER'!E91="Tertiaire"),'Synthèse PER'!L91,0)</f>
        <v>0</v>
      </c>
      <c r="BR91" s="290">
        <f>IF(('Synthèse PER'!P91="A faire")*AND('Synthèse PER'!E91="Transport"),'Synthèse PER'!L91,0)</f>
        <v>0</v>
      </c>
      <c r="BS91" s="290">
        <f>IF(('Synthèse PER'!P91="A faire")*AND('Synthèse PER'!E91="Communal"),'Synthèse PER'!L91,0)</f>
        <v>0</v>
      </c>
      <c r="BT91" s="290">
        <f>IF(('Synthèse PER'!Q91="A faire")*AND('Synthèse PER'!F91="Communal"),'Synthèse PER'!M91,0)</f>
        <v>0</v>
      </c>
    </row>
    <row r="92" spans="1:72" s="139" customFormat="1" ht="15" customHeight="1" x14ac:dyDescent="0.25">
      <c r="A92" s="369" t="s">
        <v>797</v>
      </c>
      <c r="B92" s="414" t="str">
        <f>'ADU-81'!B$3:E$3</f>
        <v>ER Electricité</v>
      </c>
      <c r="C92" s="419" t="str">
        <f>'ADU-81'!$B$8</f>
        <v>Exploitation agricole</v>
      </c>
      <c r="D92" s="133" t="str">
        <f>'ADU-81'!$B$9</f>
        <v>Eolienne de 10 kW</v>
      </c>
      <c r="E92" s="133" t="str">
        <f>'ADU-81'!$B$4</f>
        <v>Agriculture</v>
      </c>
      <c r="F92" s="133" t="str">
        <f>'ADU-81'!$B$12</f>
        <v>Industrie</v>
      </c>
      <c r="G92" s="133" t="str">
        <f>'ADU-81'!$B$6</f>
        <v>Prêt bancaire</v>
      </c>
      <c r="H92" s="134">
        <f>'ADU-81'!$B$17</f>
        <v>97000</v>
      </c>
      <c r="I92" s="133" t="str">
        <f>'ADU-81'!$B$7</f>
        <v>CV</v>
      </c>
      <c r="J92" s="134">
        <f>'ADU-81'!$B$18</f>
        <v>19400</v>
      </c>
      <c r="K92" s="134">
        <f>'ADU-81'!$B$21</f>
        <v>8863.5</v>
      </c>
      <c r="L92" s="134">
        <f>'ADU-81'!$B$22</f>
        <v>2304.5100000000002</v>
      </c>
      <c r="M92" s="135">
        <f>'ADU-81'!$B$24</f>
        <v>6.9484178470470566</v>
      </c>
      <c r="N92" s="135">
        <f>'ADU-81'!$B$19/1000</f>
        <v>0</v>
      </c>
      <c r="O92" s="136"/>
      <c r="P92" s="137" t="str">
        <f>'ADU-81'!$B$5</f>
        <v>A faire</v>
      </c>
      <c r="Q92" s="140">
        <f>'ADU-81'!$B$16</f>
        <v>2030</v>
      </c>
      <c r="R92" s="283" t="str">
        <f t="shared" si="91"/>
        <v/>
      </c>
      <c r="S92" s="138">
        <f t="shared" si="92"/>
        <v>0</v>
      </c>
      <c r="T92" s="138">
        <f t="shared" si="93"/>
        <v>0</v>
      </c>
      <c r="U92" s="138">
        <f t="shared" si="94"/>
        <v>0</v>
      </c>
      <c r="V92" s="138">
        <f t="shared" si="95"/>
        <v>0</v>
      </c>
      <c r="W92" s="138">
        <f t="shared" si="96"/>
        <v>0</v>
      </c>
      <c r="X92" s="138">
        <f t="shared" si="97"/>
        <v>0</v>
      </c>
      <c r="Y92" s="138">
        <f t="shared" si="98"/>
        <v>0</v>
      </c>
      <c r="AA92" s="287">
        <f>IF(('Synthèse PER'!P92="A faire")*AND('Synthèse PER'!F92="Agriculture"),'Synthèse PER'!H92,0)</f>
        <v>0</v>
      </c>
      <c r="AB92" s="287">
        <f>IF(('Synthèse PER'!P92="A faire")*AND('Synthèse PER'!F92="Industrie"),'Synthèse PER'!H92,0)</f>
        <v>97000</v>
      </c>
      <c r="AC92" s="287">
        <f>IF(('Synthèse PER'!P92="A faire")*AND('Synthèse PER'!F92="Citoyen"),'Synthèse PER'!H92,0)</f>
        <v>0</v>
      </c>
      <c r="AD92" s="287">
        <f>IF(('Synthèse PER'!P92="A faire")*AND('Synthèse PER'!F92="IDELUX"),'Synthèse PER'!H92,0)</f>
        <v>0</v>
      </c>
      <c r="AE92" s="290">
        <f>IF(('Synthèse PER'!P92="A faire")*AND('Synthèse PER'!F92="AC MESSANCY"),'Synthèse PER'!H92,0)</f>
        <v>0</v>
      </c>
      <c r="AF92" s="287">
        <f>IF(('Synthèse PER'!P92="A faire")*AND('Synthèse PER'!F92="Tertiaire"),'Synthèse PER'!H92,0)</f>
        <v>0</v>
      </c>
      <c r="AG92" s="288"/>
      <c r="AH92" s="290">
        <f>IF(('Synthèse PER'!P92="A faire")*AND('Synthèse PER'!F92="Agriculture"),'Synthèse PER'!J92,0)</f>
        <v>0</v>
      </c>
      <c r="AI92" s="290">
        <f>IF(('Synthèse PER'!P92="A faire")*AND('Synthèse PER'!F92="Industrie"),'Synthèse PER'!J92,0)</f>
        <v>19400</v>
      </c>
      <c r="AJ92" s="290">
        <f>IF(('Synthèse PER'!P92="A faire")*AND('Synthèse PER'!F92="Citoyen"),'Synthèse PER'!J92,0)</f>
        <v>0</v>
      </c>
      <c r="AK92" s="290">
        <f>IF(('Synthèse PER'!P92="A faire")*AND('Synthèse PER'!F92="IDELUX"),'Synthèse PER'!J92,0)</f>
        <v>0</v>
      </c>
      <c r="AL92" s="290">
        <f>IF(('Synthèse PER'!P92="A faire")*AND('Synthèse PER'!F92="AC MESSANCY"),'Synthèse PER'!J92,0)</f>
        <v>0</v>
      </c>
      <c r="AM92" s="290">
        <f>IF(('Synthèse PER'!P92="A faire")*AND('Synthèse PER'!F92="Tertiaire"),'Synthèse PER'!J92,0)</f>
        <v>0</v>
      </c>
      <c r="AN92" s="288"/>
      <c r="AO92" s="290">
        <f>IF(('Synthèse PER'!P92="A faire")*AND('Synthèse PER'!E92="Territoire"),'Synthèse PER'!H92,0)</f>
        <v>0</v>
      </c>
      <c r="AP92" s="290">
        <f>IF(('Synthèse PER'!P92="A faire")*AND('Synthèse PER'!E92="Agriculture"),'Synthèse PER'!H92,0)</f>
        <v>97000</v>
      </c>
      <c r="AQ92" s="290">
        <f>IF(('Synthèse PER'!P92="A faire")*AND('Synthèse PER'!E92="Industrie"),'Synthèse PER'!H92,0)</f>
        <v>0</v>
      </c>
      <c r="AR92" s="290">
        <f>IF(('Synthèse PER'!P92="A faire")*AND('Synthèse PER'!E92="Logement"),'Synthèse PER'!H92,0)</f>
        <v>0</v>
      </c>
      <c r="AS92" s="290">
        <f>IF(('Synthèse PER'!P92="A faire")*AND('Synthèse PER'!E92="Tertiaire"),'Synthèse PER'!H92,0)</f>
        <v>0</v>
      </c>
      <c r="AT92" s="290">
        <f>IF(('Synthèse PER'!P92="A faire")*AND('Synthèse PER'!E92="Transport"),'Synthèse PER'!H92,0)</f>
        <v>0</v>
      </c>
      <c r="AU92" s="290">
        <f>IF(('Synthèse PER'!P92="A faire")*AND('Synthèse PER'!E92="Communal"),'Synthèse PER'!H92,0)</f>
        <v>0</v>
      </c>
      <c r="AV92" s="288"/>
      <c r="AW92" s="290">
        <f>IF(('Synthèse PER'!P92="A faire")*AND('Synthèse PER'!E92="Territoire"),'Synthèse PER'!J92,0)</f>
        <v>0</v>
      </c>
      <c r="AX92" s="290">
        <f>IF(('Synthèse PER'!P92="A faire")*AND('Synthèse PER'!E92="Agriculture"),'Synthèse PER'!J92,0)</f>
        <v>19400</v>
      </c>
      <c r="AY92" s="290">
        <f>IF(('Synthèse PER'!P92="A faire")*AND('Synthèse PER'!E92="Industrie"),'Synthèse PER'!J92,0)</f>
        <v>0</v>
      </c>
      <c r="AZ92" s="290">
        <f>IF(('Synthèse PER'!P92="A faire")*AND('Synthèse PER'!E92="Logement"),'Synthèse PER'!J92,0)</f>
        <v>0</v>
      </c>
      <c r="BA92" s="290">
        <f>IF(('Synthèse PER'!P92="A faire")*AND('Synthèse PER'!E92="Tertiaire"),'Synthèse PER'!J92,0)</f>
        <v>0</v>
      </c>
      <c r="BB92" s="290">
        <f>IF(('Synthèse PER'!P92="A faire")*AND('Synthèse PER'!E92="Transport"),'Synthèse PER'!J92,0)</f>
        <v>0</v>
      </c>
      <c r="BC92" s="290">
        <f>IF(('Synthèse PER'!P92="A faire")*AND('Synthèse PER'!E92="Communal"),'Synthèse PER'!J92,0)</f>
        <v>0</v>
      </c>
      <c r="BD92" s="288"/>
      <c r="BE92" s="290">
        <f>IF(('Synthèse PER'!P92="A faire")*AND('Synthèse PER'!E92="Territoire"),'Synthèse PER'!K92,0)</f>
        <v>0</v>
      </c>
      <c r="BF92" s="290">
        <f>IF(('Synthèse PER'!P92="A faire")*AND('Synthèse PER'!E92="Agriculture"),'Synthèse PER'!K92,0)</f>
        <v>8863.5</v>
      </c>
      <c r="BG92" s="290">
        <f>IF(('Synthèse PER'!P92="A faire")*AND('Synthèse PER'!E92="Industrie"),'Synthèse PER'!K92,0)</f>
        <v>0</v>
      </c>
      <c r="BH92" s="290">
        <f>IF(('Synthèse PER'!P92="A faire")*AND('Synthèse PER'!E92="Logement"),'Synthèse PER'!K92,0)</f>
        <v>0</v>
      </c>
      <c r="BI92" s="290">
        <f>IF(('Synthèse PER'!P92="A faire")*AND('Synthèse PER'!E92="Tertiaire"),'Synthèse PER'!K92,0)</f>
        <v>0</v>
      </c>
      <c r="BJ92" s="290">
        <f>IF(('Synthèse PER'!P92="A faire")*AND('Synthèse PER'!E92="Transport"),'Synthèse PER'!K92,0)</f>
        <v>0</v>
      </c>
      <c r="BK92" s="290">
        <f>IF(('Synthèse PER'!P92="A faire")*AND('Synthèse PER'!E92="Communal"),'Synthèse PER'!K92,0)</f>
        <v>0</v>
      </c>
      <c r="BL92" s="288"/>
      <c r="BM92" s="290">
        <f>IF(('Synthèse PER'!P92="A faire")*AND('Synthèse PER'!E92="Territoire"),'Synthèse PER'!L92,0)</f>
        <v>0</v>
      </c>
      <c r="BN92" s="290">
        <f>IF(('Synthèse PER'!P92="A faire")*AND('Synthèse PER'!E92="Agriculture"),'Synthèse PER'!L92,0)</f>
        <v>2304.5100000000002</v>
      </c>
      <c r="BO92" s="290">
        <f>IF(('Synthèse PER'!P92="A faire")*AND('Synthèse PER'!E92="Industrie"),'Synthèse PER'!L92,0)</f>
        <v>0</v>
      </c>
      <c r="BP92" s="290">
        <f>IF(('Synthèse PER'!P92="A faire")*AND('Synthèse PER'!E92="Logement"),'Synthèse PER'!L92,0)</f>
        <v>0</v>
      </c>
      <c r="BQ92" s="290">
        <f>IF(('Synthèse PER'!P92="A faire")*AND('Synthèse PER'!E92="Tertiaire"),'Synthèse PER'!L92,0)</f>
        <v>0</v>
      </c>
      <c r="BR92" s="290">
        <f>IF(('Synthèse PER'!P92="A faire")*AND('Synthèse PER'!E92="Transport"),'Synthèse PER'!L92,0)</f>
        <v>0</v>
      </c>
      <c r="BS92" s="290">
        <f>IF(('Synthèse PER'!P92="A faire")*AND('Synthèse PER'!E92="Communal"),'Synthèse PER'!L92,0)</f>
        <v>0</v>
      </c>
      <c r="BT92" s="290">
        <f>IF(('Synthèse PER'!Q92="A faire")*AND('Synthèse PER'!F92="Communal"),'Synthèse PER'!M92,0)</f>
        <v>0</v>
      </c>
    </row>
    <row r="93" spans="1:72" s="139" customFormat="1" x14ac:dyDescent="0.25">
      <c r="A93" s="369" t="s">
        <v>796</v>
      </c>
      <c r="B93" s="414" t="str">
        <f>'ADU-82'!B$3:E$3</f>
        <v>ER Electricité</v>
      </c>
      <c r="C93" s="419" t="str">
        <f>'ADU-82'!$B$8</f>
        <v xml:space="preserve">Grand éolien </v>
      </c>
      <c r="D93" s="133" t="str">
        <f>'ADU-82'!$B$9</f>
        <v>Parc éolien de Hondelange</v>
      </c>
      <c r="E93" s="133" t="str">
        <f>'ADU-82'!$B$4</f>
        <v>Communal</v>
      </c>
      <c r="F93" s="133" t="str">
        <f>'ADU-82'!$B$12</f>
        <v>AC MESSANCY</v>
      </c>
      <c r="G93" s="133" t="str">
        <f>'ADU-82'!$B$6</f>
        <v>Montage</v>
      </c>
      <c r="H93" s="134">
        <f>'ADU-82'!$B$17</f>
        <v>15000000</v>
      </c>
      <c r="I93" s="133" t="str">
        <f>'ADU-82'!$B$7</f>
        <v>CV</v>
      </c>
      <c r="J93" s="134">
        <f>'ADU-82'!$B$18</f>
        <v>3000000</v>
      </c>
      <c r="K93" s="134">
        <f>'ADU-82'!$B$21</f>
        <v>863304.6980924845</v>
      </c>
      <c r="L93" s="134">
        <f>'ADU-82'!$B$22</f>
        <v>1402870.1344002872</v>
      </c>
      <c r="M93" s="135">
        <f>'ADU-82'!$B$24</f>
        <v>5.2952666440126821</v>
      </c>
      <c r="N93" s="135">
        <f>'ADU-82'!$B$19/1000</f>
        <v>0</v>
      </c>
      <c r="O93" s="136"/>
      <c r="P93" s="137" t="str">
        <f>'ADU-82'!$B$5</f>
        <v>Terminé</v>
      </c>
      <c r="Q93" s="140">
        <f>'ADU-82'!$B$16</f>
        <v>2016</v>
      </c>
      <c r="R93" s="283">
        <f t="shared" si="91"/>
        <v>0</v>
      </c>
      <c r="S93" s="138">
        <f t="shared" si="92"/>
        <v>0</v>
      </c>
      <c r="T93" s="138">
        <f t="shared" si="93"/>
        <v>0</v>
      </c>
      <c r="U93" s="138">
        <f t="shared" si="94"/>
        <v>0</v>
      </c>
      <c r="V93" s="138">
        <f t="shared" si="95"/>
        <v>0</v>
      </c>
      <c r="W93" s="138">
        <f t="shared" si="96"/>
        <v>0</v>
      </c>
      <c r="X93" s="138">
        <f t="shared" si="97"/>
        <v>0</v>
      </c>
      <c r="Y93" s="138">
        <f t="shared" si="98"/>
        <v>0</v>
      </c>
      <c r="AA93" s="287">
        <f>IF(('Synthèse PER'!P93="A faire")*AND('Synthèse PER'!F93="Agriculture"),'Synthèse PER'!H93,0)</f>
        <v>0</v>
      </c>
      <c r="AB93" s="287">
        <f>IF(('Synthèse PER'!P93="A faire")*AND('Synthèse PER'!F93="Industrie"),'Synthèse PER'!H93,0)</f>
        <v>0</v>
      </c>
      <c r="AC93" s="287">
        <f>IF(('Synthèse PER'!P93="A faire")*AND('Synthèse PER'!F93="Citoyen"),'Synthèse PER'!H93,0)</f>
        <v>0</v>
      </c>
      <c r="AD93" s="287">
        <f>IF(('Synthèse PER'!P93="A faire")*AND('Synthèse PER'!F93="IDELUX"),'Synthèse PER'!H93,0)</f>
        <v>0</v>
      </c>
      <c r="AE93" s="290">
        <f>IF(('Synthèse PER'!P93="A faire")*AND('Synthèse PER'!F93="AC MESSANCY"),'Synthèse PER'!H93,0)</f>
        <v>0</v>
      </c>
      <c r="AF93" s="287">
        <f>IF(('Synthèse PER'!P93="A faire")*AND('Synthèse PER'!F93="Tertiaire"),'Synthèse PER'!H93,0)</f>
        <v>0</v>
      </c>
      <c r="AG93" s="288"/>
      <c r="AH93" s="290">
        <f>IF(('Synthèse PER'!P93="A faire")*AND('Synthèse PER'!F93="Agriculture"),'Synthèse PER'!J93,0)</f>
        <v>0</v>
      </c>
      <c r="AI93" s="290">
        <f>IF(('Synthèse PER'!P93="A faire")*AND('Synthèse PER'!F93="Industrie"),'Synthèse PER'!J93,0)</f>
        <v>0</v>
      </c>
      <c r="AJ93" s="290">
        <f>IF(('Synthèse PER'!P93="A faire")*AND('Synthèse PER'!F93="Citoyen"),'Synthèse PER'!J93,0)</f>
        <v>0</v>
      </c>
      <c r="AK93" s="290">
        <f>IF(('Synthèse PER'!P93="A faire")*AND('Synthèse PER'!F93="IDELUX"),'Synthèse PER'!J93,0)</f>
        <v>0</v>
      </c>
      <c r="AL93" s="290">
        <f>IF(('Synthèse PER'!P93="A faire")*AND('Synthèse PER'!F93="AC MESSANCY"),'Synthèse PER'!J93,0)</f>
        <v>0</v>
      </c>
      <c r="AM93" s="290">
        <f>IF(('Synthèse PER'!P93="A faire")*AND('Synthèse PER'!F93="Tertiaire"),'Synthèse PER'!J93,0)</f>
        <v>0</v>
      </c>
      <c r="AN93" s="288"/>
      <c r="AO93" s="290">
        <f>IF(('Synthèse PER'!P93="A faire")*AND('Synthèse PER'!E93="Territoire"),'Synthèse PER'!H93,0)</f>
        <v>0</v>
      </c>
      <c r="AP93" s="290">
        <f>IF(('Synthèse PER'!P93="A faire")*AND('Synthèse PER'!E93="Agriculture"),'Synthèse PER'!H93,0)</f>
        <v>0</v>
      </c>
      <c r="AQ93" s="290">
        <f>IF(('Synthèse PER'!P93="A faire")*AND('Synthèse PER'!E93="Industrie"),'Synthèse PER'!H93,0)</f>
        <v>0</v>
      </c>
      <c r="AR93" s="290">
        <f>IF(('Synthèse PER'!P93="A faire")*AND('Synthèse PER'!E93="Logement"),'Synthèse PER'!H93,0)</f>
        <v>0</v>
      </c>
      <c r="AS93" s="290">
        <f>IF(('Synthèse PER'!P93="A faire")*AND('Synthèse PER'!E93="Tertiaire"),'Synthèse PER'!H93,0)</f>
        <v>0</v>
      </c>
      <c r="AT93" s="290">
        <f>IF(('Synthèse PER'!P93="A faire")*AND('Synthèse PER'!E93="Transport"),'Synthèse PER'!H93,0)</f>
        <v>0</v>
      </c>
      <c r="AU93" s="290">
        <f>IF(('Synthèse PER'!P93="A faire")*AND('Synthèse PER'!E93="Communal"),'Synthèse PER'!H93,0)</f>
        <v>0</v>
      </c>
      <c r="AV93" s="288"/>
      <c r="AW93" s="290">
        <f>IF(('Synthèse PER'!P93="A faire")*AND('Synthèse PER'!E93="Territoire"),'Synthèse PER'!J93,0)</f>
        <v>0</v>
      </c>
      <c r="AX93" s="290">
        <f>IF(('Synthèse PER'!P93="A faire")*AND('Synthèse PER'!E93="Agriculture"),'Synthèse PER'!J93,0)</f>
        <v>0</v>
      </c>
      <c r="AY93" s="290">
        <f>IF(('Synthèse PER'!P93="A faire")*AND('Synthèse PER'!E93="Industrie"),'Synthèse PER'!J93,0)</f>
        <v>0</v>
      </c>
      <c r="AZ93" s="290">
        <f>IF(('Synthèse PER'!P93="A faire")*AND('Synthèse PER'!E93="Logement"),'Synthèse PER'!J93,0)</f>
        <v>0</v>
      </c>
      <c r="BA93" s="290">
        <f>IF(('Synthèse PER'!P93="A faire")*AND('Synthèse PER'!E93="Tertiaire"),'Synthèse PER'!J93,0)</f>
        <v>0</v>
      </c>
      <c r="BB93" s="290">
        <f>IF(('Synthèse PER'!P93="A faire")*AND('Synthèse PER'!E93="Transport"),'Synthèse PER'!J93,0)</f>
        <v>0</v>
      </c>
      <c r="BC93" s="290">
        <f>IF(('Synthèse PER'!P93="A faire")*AND('Synthèse PER'!E93="Communal"),'Synthèse PER'!J93,0)</f>
        <v>0</v>
      </c>
      <c r="BD93" s="288"/>
      <c r="BE93" s="290">
        <f>IF(('Synthèse PER'!P93="A faire")*AND('Synthèse PER'!E93="Territoire"),'Synthèse PER'!K93,0)</f>
        <v>0</v>
      </c>
      <c r="BF93" s="290">
        <f>IF(('Synthèse PER'!P93="A faire")*AND('Synthèse PER'!E93="Agriculture"),'Synthèse PER'!K93,0)</f>
        <v>0</v>
      </c>
      <c r="BG93" s="290">
        <f>IF(('Synthèse PER'!P93="A faire")*AND('Synthèse PER'!E93="Industrie"),'Synthèse PER'!K93,0)</f>
        <v>0</v>
      </c>
      <c r="BH93" s="290">
        <f>IF(('Synthèse PER'!P93="A faire")*AND('Synthèse PER'!E93="Logement"),'Synthèse PER'!K93,0)</f>
        <v>0</v>
      </c>
      <c r="BI93" s="290">
        <f>IF(('Synthèse PER'!P93="A faire")*AND('Synthèse PER'!E93="Tertiaire"),'Synthèse PER'!K93,0)</f>
        <v>0</v>
      </c>
      <c r="BJ93" s="290">
        <f>IF(('Synthèse PER'!P93="A faire")*AND('Synthèse PER'!E93="Transport"),'Synthèse PER'!K93,0)</f>
        <v>0</v>
      </c>
      <c r="BK93" s="290">
        <f>IF(('Synthèse PER'!P93="A faire")*AND('Synthèse PER'!E93="Communal"),'Synthèse PER'!K93,0)</f>
        <v>0</v>
      </c>
      <c r="BL93" s="288"/>
      <c r="BM93" s="290">
        <f>IF(('Synthèse PER'!P93="A faire")*AND('Synthèse PER'!E93="Territoire"),'Synthèse PER'!L93,0)</f>
        <v>0</v>
      </c>
      <c r="BN93" s="290">
        <f>IF(('Synthèse PER'!P93="A faire")*AND('Synthèse PER'!E93="Agriculture"),'Synthèse PER'!L93,0)</f>
        <v>0</v>
      </c>
      <c r="BO93" s="290">
        <f>IF(('Synthèse PER'!P93="A faire")*AND('Synthèse PER'!E93="Industrie"),'Synthèse PER'!L93,0)</f>
        <v>0</v>
      </c>
      <c r="BP93" s="290">
        <f>IF(('Synthèse PER'!P93="A faire")*AND('Synthèse PER'!E93="Logement"),'Synthèse PER'!L93,0)</f>
        <v>0</v>
      </c>
      <c r="BQ93" s="290">
        <f>IF(('Synthèse PER'!P93="A faire")*AND('Synthèse PER'!E93="Tertiaire"),'Synthèse PER'!L93,0)</f>
        <v>0</v>
      </c>
      <c r="BR93" s="290">
        <f>IF(('Synthèse PER'!P93="A faire")*AND('Synthèse PER'!E93="Transport"),'Synthèse PER'!L93,0)</f>
        <v>0</v>
      </c>
      <c r="BS93" s="290">
        <f>IF(('Synthèse PER'!P93="A faire")*AND('Synthèse PER'!E93="Communal"),'Synthèse PER'!L93,0)</f>
        <v>0</v>
      </c>
      <c r="BT93" s="290">
        <f>IF(('Synthèse PER'!Q93="A faire")*AND('Synthèse PER'!F93="Communal"),'Synthèse PER'!M93,0)</f>
        <v>0</v>
      </c>
    </row>
    <row r="94" spans="1:72" s="139" customFormat="1" x14ac:dyDescent="0.25">
      <c r="A94" s="369" t="s">
        <v>841</v>
      </c>
      <c r="B94" s="463" t="str">
        <f>'ADU-83'!B$3:E$3</f>
        <v>ER Electricité</v>
      </c>
      <c r="C94" s="419" t="str">
        <f>'ADU-83'!$B$8</f>
        <v>Hydroélectricité</v>
      </c>
      <c r="D94" s="133" t="str">
        <f>'ADU-83'!$B$9</f>
        <v>Restauration de moulins</v>
      </c>
      <c r="E94" s="133" t="str">
        <f>'ADU-83'!$B$4</f>
        <v>Logement</v>
      </c>
      <c r="F94" s="133" t="str">
        <f>'ADU-83'!$B$12</f>
        <v>Citoyen</v>
      </c>
      <c r="G94" s="133" t="str">
        <f>'ADU-83'!$B$6</f>
        <v>Montage</v>
      </c>
      <c r="H94" s="134">
        <f>'ADU-83'!$B$17</f>
        <v>50000</v>
      </c>
      <c r="I94" s="133" t="str">
        <f>'ADU-83'!$B$7</f>
        <v>CV</v>
      </c>
      <c r="J94" s="134">
        <f>'ADU-83'!$B$18</f>
        <v>10000</v>
      </c>
      <c r="K94" s="134">
        <f>'ADU-83'!$B$21</f>
        <v>686.78399999999999</v>
      </c>
      <c r="L94" s="134">
        <f>'ADU-83'!$B$22</f>
        <v>1116.0239999999999</v>
      </c>
      <c r="M94" s="135">
        <f>'ADU-83'!$B$24</f>
        <v>22.187609551322161</v>
      </c>
      <c r="N94" s="135">
        <f>'ADU-83'!$B$19/1000</f>
        <v>0</v>
      </c>
      <c r="O94" s="136"/>
      <c r="P94" s="137" t="str">
        <f>'ADU-83'!$B$5</f>
        <v>Terminé</v>
      </c>
      <c r="Q94" s="140">
        <f>'ADU-83'!$B$16</f>
        <v>2017</v>
      </c>
      <c r="R94" s="283">
        <f>IF(P94="terminé", N94,"")</f>
        <v>0</v>
      </c>
      <c r="S94" s="138">
        <f t="shared" si="92"/>
        <v>0</v>
      </c>
      <c r="T94" s="138">
        <f t="shared" si="93"/>
        <v>0</v>
      </c>
      <c r="U94" s="138">
        <f t="shared" si="94"/>
        <v>0</v>
      </c>
      <c r="V94" s="138">
        <f t="shared" si="95"/>
        <v>0</v>
      </c>
      <c r="W94" s="138">
        <f t="shared" si="96"/>
        <v>0</v>
      </c>
      <c r="X94" s="138">
        <f t="shared" si="97"/>
        <v>0</v>
      </c>
      <c r="Y94" s="138">
        <f t="shared" si="98"/>
        <v>0</v>
      </c>
      <c r="AA94" s="287">
        <f>IF(('Synthèse PER'!P94="A faire")*AND('Synthèse PER'!F94="Agriculture"),'Synthèse PER'!H94,0)</f>
        <v>0</v>
      </c>
      <c r="AB94" s="287">
        <f>IF(('Synthèse PER'!P94="A faire")*AND('Synthèse PER'!F94="Industrie"),'Synthèse PER'!H94,0)</f>
        <v>0</v>
      </c>
      <c r="AC94" s="287">
        <f>IF(('Synthèse PER'!P94="A faire")*AND('Synthèse PER'!F94="Citoyen"),'Synthèse PER'!H94,0)</f>
        <v>0</v>
      </c>
      <c r="AD94" s="287">
        <f>IF(('Synthèse PER'!P94="A faire")*AND('Synthèse PER'!F94="IDELUX"),'Synthèse PER'!H94,0)</f>
        <v>0</v>
      </c>
      <c r="AE94" s="290">
        <f>IF(('Synthèse PER'!P94="A faire")*AND('Synthèse PER'!F94="AC MESSANCY"),'Synthèse PER'!H94,0)</f>
        <v>0</v>
      </c>
      <c r="AF94" s="287">
        <f>IF(('Synthèse PER'!P94="A faire")*AND('Synthèse PER'!F94="Tertiaire"),'Synthèse PER'!H94,0)</f>
        <v>0</v>
      </c>
      <c r="AG94" s="288"/>
      <c r="AH94" s="290">
        <f>IF(('Synthèse PER'!P94="A faire")*AND('Synthèse PER'!F94="Agriculture"),'Synthèse PER'!J94,0)</f>
        <v>0</v>
      </c>
      <c r="AI94" s="290">
        <f>IF(('Synthèse PER'!P94="A faire")*AND('Synthèse PER'!F94="Industrie"),'Synthèse PER'!J94,0)</f>
        <v>0</v>
      </c>
      <c r="AJ94" s="290">
        <f>IF(('Synthèse PER'!P94="A faire")*AND('Synthèse PER'!F94="Citoyen"),'Synthèse PER'!J94,0)</f>
        <v>0</v>
      </c>
      <c r="AK94" s="290">
        <f>IF(('Synthèse PER'!P94="A faire")*AND('Synthèse PER'!F94="IDELUX"),'Synthèse PER'!J94,0)</f>
        <v>0</v>
      </c>
      <c r="AL94" s="290">
        <f>IF(('Synthèse PER'!P94="A faire")*AND('Synthèse PER'!F94="AC MESSANCY"),'Synthèse PER'!J94,0)</f>
        <v>0</v>
      </c>
      <c r="AM94" s="290">
        <f>IF(('Synthèse PER'!P94="A faire")*AND('Synthèse PER'!F94="Tertiaire"),'Synthèse PER'!J94,0)</f>
        <v>0</v>
      </c>
      <c r="AN94" s="288"/>
      <c r="AO94" s="290">
        <f>IF(('Synthèse PER'!P94="A faire")*AND('Synthèse PER'!E94="Territoire"),'Synthèse PER'!H94,0)</f>
        <v>0</v>
      </c>
      <c r="AP94" s="290">
        <f>IF(('Synthèse PER'!P94="A faire")*AND('Synthèse PER'!E94="Agriculture"),'Synthèse PER'!H94,0)</f>
        <v>0</v>
      </c>
      <c r="AQ94" s="290">
        <f>IF(('Synthèse PER'!P94="A faire")*AND('Synthèse PER'!E94="Industrie"),'Synthèse PER'!H94,0)</f>
        <v>0</v>
      </c>
      <c r="AR94" s="290">
        <f>IF(('Synthèse PER'!P94="A faire")*AND('Synthèse PER'!E94="Logement"),'Synthèse PER'!H94,0)</f>
        <v>0</v>
      </c>
      <c r="AS94" s="290">
        <f>IF(('Synthèse PER'!P94="A faire")*AND('Synthèse PER'!E94="Tertiaire"),'Synthèse PER'!H94,0)</f>
        <v>0</v>
      </c>
      <c r="AT94" s="290">
        <f>IF(('Synthèse PER'!P94="A faire")*AND('Synthèse PER'!E94="Transport"),'Synthèse PER'!H94,0)</f>
        <v>0</v>
      </c>
      <c r="AU94" s="290">
        <f>IF(('Synthèse PER'!P94="A faire")*AND('Synthèse PER'!E94="Communal"),'Synthèse PER'!H94,0)</f>
        <v>0</v>
      </c>
      <c r="AV94" s="288"/>
      <c r="AW94" s="290">
        <f>IF(('Synthèse PER'!P94="A faire")*AND('Synthèse PER'!E94="Territoire"),'Synthèse PER'!J94,0)</f>
        <v>0</v>
      </c>
      <c r="AX94" s="290">
        <f>IF(('Synthèse PER'!P94="A faire")*AND('Synthèse PER'!E94="Agriculture"),'Synthèse PER'!J94,0)</f>
        <v>0</v>
      </c>
      <c r="AY94" s="290">
        <f>IF(('Synthèse PER'!P94="A faire")*AND('Synthèse PER'!E94="Industrie"),'Synthèse PER'!J94,0)</f>
        <v>0</v>
      </c>
      <c r="AZ94" s="290">
        <f>IF(('Synthèse PER'!P94="A faire")*AND('Synthèse PER'!E94="Logement"),'Synthèse PER'!J94,0)</f>
        <v>0</v>
      </c>
      <c r="BA94" s="290">
        <f>IF(('Synthèse PER'!P94="A faire")*AND('Synthèse PER'!E94="Tertiaire"),'Synthèse PER'!J94,0)</f>
        <v>0</v>
      </c>
      <c r="BB94" s="290">
        <f>IF(('Synthèse PER'!P94="A faire")*AND('Synthèse PER'!E94="Transport"),'Synthèse PER'!J94,0)</f>
        <v>0</v>
      </c>
      <c r="BC94" s="290">
        <f>IF(('Synthèse PER'!P94="A faire")*AND('Synthèse PER'!E94="Communal"),'Synthèse PER'!J94,0)</f>
        <v>0</v>
      </c>
      <c r="BD94" s="288"/>
      <c r="BE94" s="290">
        <f>IF(('Synthèse PER'!P94="A faire")*AND('Synthèse PER'!E94="Territoire"),'Synthèse PER'!K94,0)</f>
        <v>0</v>
      </c>
      <c r="BF94" s="290">
        <f>IF(('Synthèse PER'!P94="A faire")*AND('Synthèse PER'!E94="Agriculture"),'Synthèse PER'!K94,0)</f>
        <v>0</v>
      </c>
      <c r="BG94" s="290">
        <f>IF(('Synthèse PER'!P94="A faire")*AND('Synthèse PER'!E94="Industrie"),'Synthèse PER'!K94,0)</f>
        <v>0</v>
      </c>
      <c r="BH94" s="290">
        <f>IF(('Synthèse PER'!P94="A faire")*AND('Synthèse PER'!E94="Logement"),'Synthèse PER'!K94,0)</f>
        <v>0</v>
      </c>
      <c r="BI94" s="290">
        <f>IF(('Synthèse PER'!P94="A faire")*AND('Synthèse PER'!E94="Tertiaire"),'Synthèse PER'!K94,0)</f>
        <v>0</v>
      </c>
      <c r="BJ94" s="290">
        <f>IF(('Synthèse PER'!P94="A faire")*AND('Synthèse PER'!E94="Transport"),'Synthèse PER'!K94,0)</f>
        <v>0</v>
      </c>
      <c r="BK94" s="290">
        <f>IF(('Synthèse PER'!P94="A faire")*AND('Synthèse PER'!E94="Communal"),'Synthèse PER'!K94,0)</f>
        <v>0</v>
      </c>
      <c r="BL94" s="288"/>
      <c r="BM94" s="290">
        <f>IF(('Synthèse PER'!P94="A faire")*AND('Synthèse PER'!E94="Territoire"),'Synthèse PER'!L94,0)</f>
        <v>0</v>
      </c>
      <c r="BN94" s="290">
        <f>IF(('Synthèse PER'!P94="A faire")*AND('Synthèse PER'!E94="Agriculture"),'Synthèse PER'!L94,0)</f>
        <v>0</v>
      </c>
      <c r="BO94" s="290">
        <f>IF(('Synthèse PER'!P94="A faire")*AND('Synthèse PER'!E94="Industrie"),'Synthèse PER'!L94,0)</f>
        <v>0</v>
      </c>
      <c r="BP94" s="290">
        <f>IF(('Synthèse PER'!P94="A faire")*AND('Synthèse PER'!E94="Logement"),'Synthèse PER'!L94,0)</f>
        <v>0</v>
      </c>
      <c r="BQ94" s="290">
        <f>IF(('Synthèse PER'!P94="A faire")*AND('Synthèse PER'!E94="Tertiaire"),'Synthèse PER'!L94,0)</f>
        <v>0</v>
      </c>
      <c r="BR94" s="290">
        <f>IF(('Synthèse PER'!P94="A faire")*AND('Synthèse PER'!E94="Transport"),'Synthèse PER'!L94,0)</f>
        <v>0</v>
      </c>
      <c r="BS94" s="290">
        <f>IF(('Synthèse PER'!P94="A faire")*AND('Synthèse PER'!E94="Communal"),'Synthèse PER'!L94,0)</f>
        <v>0</v>
      </c>
      <c r="BT94" s="290">
        <f>IF(('Synthèse PER'!Q94="A faire")*AND('Synthèse PER'!F94="Communal"),'Synthèse PER'!M94,0)</f>
        <v>0</v>
      </c>
    </row>
    <row r="95" spans="1:72" s="139" customFormat="1" x14ac:dyDescent="0.25">
      <c r="A95" s="369" t="s">
        <v>795</v>
      </c>
      <c r="B95" s="414" t="str">
        <f>'ADU-90'!B$3:E$3</f>
        <v>ER Electricité</v>
      </c>
      <c r="C95" s="419" t="str">
        <f>'ADU-90'!$B$8</f>
        <v>Agriculteurs</v>
      </c>
      <c r="D95" s="133" t="str">
        <f>'ADU-90'!$B$9</f>
        <v xml:space="preserve">Micro biogaz </v>
      </c>
      <c r="E95" s="133" t="str">
        <f>'ADU-90'!$B$4</f>
        <v>Agriculture</v>
      </c>
      <c r="F95" s="133" t="str">
        <f>'ADU-90'!$B$12</f>
        <v>Agriculture</v>
      </c>
      <c r="G95" s="133" t="str">
        <f>'ADU-90'!$B$6</f>
        <v>1/3 invest</v>
      </c>
      <c r="H95" s="134">
        <f>'ADU-90'!$B$17</f>
        <v>120000</v>
      </c>
      <c r="I95" s="133" t="str">
        <f>'ADU-90'!$B$7</f>
        <v>Subs RW</v>
      </c>
      <c r="J95" s="134">
        <f>'ADU-90'!$B$18</f>
        <v>36000</v>
      </c>
      <c r="K95" s="134">
        <f>'ADU-90'!$B$21</f>
        <v>0</v>
      </c>
      <c r="L95" s="134">
        <f>'ADU-90'!$B$22</f>
        <v>8365.5000000000018</v>
      </c>
      <c r="M95" s="135">
        <f>'ADU-90'!$B$24</f>
        <v>10.041240810471578</v>
      </c>
      <c r="N95" s="135">
        <f>'ADU-90'!$B$20/1000</f>
        <v>128.70000000000002</v>
      </c>
      <c r="O95" s="136"/>
      <c r="P95" s="137" t="str">
        <f>'ADU-90'!$B$5</f>
        <v>A faire</v>
      </c>
      <c r="Q95" s="140">
        <f>'ADU-90'!$B$16</f>
        <v>2030</v>
      </c>
      <c r="R95" s="283" t="str">
        <f t="shared" si="91"/>
        <v/>
      </c>
      <c r="S95" s="138">
        <f t="shared" si="92"/>
        <v>0</v>
      </c>
      <c r="T95" s="138">
        <f t="shared" si="93"/>
        <v>0</v>
      </c>
      <c r="U95" s="138">
        <f t="shared" si="94"/>
        <v>0</v>
      </c>
      <c r="V95" s="138">
        <f t="shared" si="95"/>
        <v>0</v>
      </c>
      <c r="W95" s="138">
        <f t="shared" si="96"/>
        <v>0</v>
      </c>
      <c r="X95" s="138">
        <f t="shared" si="97"/>
        <v>0</v>
      </c>
      <c r="Y95" s="138">
        <f t="shared" si="98"/>
        <v>0</v>
      </c>
      <c r="AA95" s="287">
        <f>IF(('Synthèse PER'!P95="A faire")*AND('Synthèse PER'!F95="Agriculture"),'Synthèse PER'!H95,0)</f>
        <v>120000</v>
      </c>
      <c r="AB95" s="287">
        <f>IF(('Synthèse PER'!P95="A faire")*AND('Synthèse PER'!F95="Industrie"),'Synthèse PER'!H95,0)</f>
        <v>0</v>
      </c>
      <c r="AC95" s="287">
        <f>IF(('Synthèse PER'!P95="A faire")*AND('Synthèse PER'!F95="Citoyen"),'Synthèse PER'!H95,0)</f>
        <v>0</v>
      </c>
      <c r="AD95" s="287">
        <f>IF(('Synthèse PER'!P95="A faire")*AND('Synthèse PER'!F95="IDELUX"),'Synthèse PER'!H95,0)</f>
        <v>0</v>
      </c>
      <c r="AE95" s="290">
        <f>IF(('Synthèse PER'!P95="A faire")*AND('Synthèse PER'!F95="AC MESSANCY"),'Synthèse PER'!H95,0)</f>
        <v>0</v>
      </c>
      <c r="AF95" s="287">
        <f>IF(('Synthèse PER'!P95="A faire")*AND('Synthèse PER'!F95="Tertiaire"),'Synthèse PER'!H95,0)</f>
        <v>0</v>
      </c>
      <c r="AG95" s="288"/>
      <c r="AH95" s="290">
        <f>IF(('Synthèse PER'!P95="A faire")*AND('Synthèse PER'!F95="Agriculture"),'Synthèse PER'!J95,0)</f>
        <v>36000</v>
      </c>
      <c r="AI95" s="290">
        <f>IF(('Synthèse PER'!P95="A faire")*AND('Synthèse PER'!F95="Industrie"),'Synthèse PER'!J95,0)</f>
        <v>0</v>
      </c>
      <c r="AJ95" s="290">
        <f>IF(('Synthèse PER'!P95="A faire")*AND('Synthèse PER'!F95="Citoyen"),'Synthèse PER'!J95,0)</f>
        <v>0</v>
      </c>
      <c r="AK95" s="290">
        <f>IF(('Synthèse PER'!P95="A faire")*AND('Synthèse PER'!F95="IDELUX"),'Synthèse PER'!J95,0)</f>
        <v>0</v>
      </c>
      <c r="AL95" s="290">
        <f>IF(('Synthèse PER'!P95="A faire")*AND('Synthèse PER'!F95="AC MESSANCY"),'Synthèse PER'!J95,0)</f>
        <v>0</v>
      </c>
      <c r="AM95" s="290">
        <f>IF(('Synthèse PER'!P95="A faire")*AND('Synthèse PER'!F95="Tertiaire"),'Synthèse PER'!J95,0)</f>
        <v>0</v>
      </c>
      <c r="AN95" s="288"/>
      <c r="AO95" s="290">
        <f>IF(('Synthèse PER'!P95="A faire")*AND('Synthèse PER'!E95="Territoire"),'Synthèse PER'!H95,0)</f>
        <v>0</v>
      </c>
      <c r="AP95" s="290">
        <f>IF(('Synthèse PER'!P95="A faire")*AND('Synthèse PER'!E95="Agriculture"),'Synthèse PER'!H95,0)</f>
        <v>120000</v>
      </c>
      <c r="AQ95" s="290">
        <f>IF(('Synthèse PER'!P95="A faire")*AND('Synthèse PER'!E95="Industrie"),'Synthèse PER'!H95,0)</f>
        <v>0</v>
      </c>
      <c r="AR95" s="290">
        <f>IF(('Synthèse PER'!P95="A faire")*AND('Synthèse PER'!E95="Logement"),'Synthèse PER'!H95,0)</f>
        <v>0</v>
      </c>
      <c r="AS95" s="290">
        <f>IF(('Synthèse PER'!P95="A faire")*AND('Synthèse PER'!E95="Tertiaire"),'Synthèse PER'!H95,0)</f>
        <v>0</v>
      </c>
      <c r="AT95" s="290">
        <f>IF(('Synthèse PER'!P95="A faire")*AND('Synthèse PER'!E95="Transport"),'Synthèse PER'!H95,0)</f>
        <v>0</v>
      </c>
      <c r="AU95" s="290">
        <f>IF(('Synthèse PER'!P95="A faire")*AND('Synthèse PER'!E95="Communal"),'Synthèse PER'!H95,0)</f>
        <v>0</v>
      </c>
      <c r="AV95" s="288"/>
      <c r="AW95" s="290">
        <f>IF(('Synthèse PER'!P95="A faire")*AND('Synthèse PER'!E95="Territoire"),'Synthèse PER'!J95,0)</f>
        <v>0</v>
      </c>
      <c r="AX95" s="290">
        <f>IF(('Synthèse PER'!P95="A faire")*AND('Synthèse PER'!E95="Agriculture"),'Synthèse PER'!J95,0)</f>
        <v>36000</v>
      </c>
      <c r="AY95" s="290">
        <f>IF(('Synthèse PER'!P95="A faire")*AND('Synthèse PER'!E95="Industrie"),'Synthèse PER'!J95,0)</f>
        <v>0</v>
      </c>
      <c r="AZ95" s="290">
        <f>IF(('Synthèse PER'!P95="A faire")*AND('Synthèse PER'!E95="Logement"),'Synthèse PER'!J95,0)</f>
        <v>0</v>
      </c>
      <c r="BA95" s="290">
        <f>IF(('Synthèse PER'!P95="A faire")*AND('Synthèse PER'!E95="Tertiaire"),'Synthèse PER'!J95,0)</f>
        <v>0</v>
      </c>
      <c r="BB95" s="290">
        <f>IF(('Synthèse PER'!P95="A faire")*AND('Synthèse PER'!E95="Transport"),'Synthèse PER'!J95,0)</f>
        <v>0</v>
      </c>
      <c r="BC95" s="290">
        <f>IF(('Synthèse PER'!P95="A faire")*AND('Synthèse PER'!E95="Communal"),'Synthèse PER'!J95,0)</f>
        <v>0</v>
      </c>
      <c r="BD95" s="288"/>
      <c r="BE95" s="290">
        <f>IF(('Synthèse PER'!P95="A faire")*AND('Synthèse PER'!E95="Territoire"),'Synthèse PER'!K95,0)</f>
        <v>0</v>
      </c>
      <c r="BF95" s="290">
        <f>IF(('Synthèse PER'!P95="A faire")*AND('Synthèse PER'!E95="Agriculture"),'Synthèse PER'!K95,0)</f>
        <v>0</v>
      </c>
      <c r="BG95" s="290">
        <f>IF(('Synthèse PER'!P95="A faire")*AND('Synthèse PER'!E95="Industrie"),'Synthèse PER'!K95,0)</f>
        <v>0</v>
      </c>
      <c r="BH95" s="290">
        <f>IF(('Synthèse PER'!P95="A faire")*AND('Synthèse PER'!E95="Logement"),'Synthèse PER'!K95,0)</f>
        <v>0</v>
      </c>
      <c r="BI95" s="290">
        <f>IF(('Synthèse PER'!P95="A faire")*AND('Synthèse PER'!E95="Tertiaire"),'Synthèse PER'!K95,0)</f>
        <v>0</v>
      </c>
      <c r="BJ95" s="290">
        <f>IF(('Synthèse PER'!P95="A faire")*AND('Synthèse PER'!E95="Transport"),'Synthèse PER'!K95,0)</f>
        <v>0</v>
      </c>
      <c r="BK95" s="290">
        <f>IF(('Synthèse PER'!P95="A faire")*AND('Synthèse PER'!E95="Communal"),'Synthèse PER'!K95,0)</f>
        <v>0</v>
      </c>
      <c r="BL95" s="288"/>
      <c r="BM95" s="290">
        <f>IF(('Synthèse PER'!P95="A faire")*AND('Synthèse PER'!E95="Territoire"),'Synthèse PER'!L95,0)</f>
        <v>0</v>
      </c>
      <c r="BN95" s="290">
        <f>IF(('Synthèse PER'!P95="A faire")*AND('Synthèse PER'!E95="Agriculture"),'Synthèse PER'!L95,0)</f>
        <v>8365.5000000000018</v>
      </c>
      <c r="BO95" s="290">
        <f>IF(('Synthèse PER'!P95="A faire")*AND('Synthèse PER'!E95="Industrie"),'Synthèse PER'!L95,0)</f>
        <v>0</v>
      </c>
      <c r="BP95" s="290">
        <f>IF(('Synthèse PER'!P95="A faire")*AND('Synthèse PER'!E95="Logement"),'Synthèse PER'!L95,0)</f>
        <v>0</v>
      </c>
      <c r="BQ95" s="290">
        <f>IF(('Synthèse PER'!P95="A faire")*AND('Synthèse PER'!E95="Tertiaire"),'Synthèse PER'!L95,0)</f>
        <v>0</v>
      </c>
      <c r="BR95" s="290">
        <f>IF(('Synthèse PER'!P95="A faire")*AND('Synthèse PER'!E95="Transport"),'Synthèse PER'!L95,0)</f>
        <v>0</v>
      </c>
      <c r="BS95" s="290">
        <f>IF(('Synthèse PER'!P95="A faire")*AND('Synthèse PER'!E95="Communal"),'Synthèse PER'!L95,0)</f>
        <v>0</v>
      </c>
      <c r="BT95" s="290">
        <f>IF(('Synthèse PER'!Q95="A faire")*AND('Synthèse PER'!F95="Communal"),'Synthèse PER'!M95,0)</f>
        <v>0</v>
      </c>
    </row>
    <row r="96" spans="1:72" s="139" customFormat="1" x14ac:dyDescent="0.25">
      <c r="A96" s="369" t="s">
        <v>794</v>
      </c>
      <c r="B96" s="414" t="str">
        <f>'ADU-91'!B$3:E$3</f>
        <v>ER Electricité</v>
      </c>
      <c r="C96" s="419" t="str">
        <f>'ADU-91'!$B$8</f>
        <v>Exploitations agricoles</v>
      </c>
      <c r="D96" s="133" t="str">
        <f>'ADU-91'!$B$9</f>
        <v xml:space="preserve"> Centrale biogaz  - bétail</v>
      </c>
      <c r="E96" s="133" t="str">
        <f>'ADU-91'!$B$4</f>
        <v>Agriculture</v>
      </c>
      <c r="F96" s="133" t="str">
        <f>'ADU-91'!$B$12</f>
        <v>Agriculture</v>
      </c>
      <c r="G96" s="133" t="str">
        <f>'ADU-91'!$B$6</f>
        <v>Montage</v>
      </c>
      <c r="H96" s="134">
        <f>'ADU-91'!$B$17</f>
        <v>1042000</v>
      </c>
      <c r="I96" s="133" t="str">
        <f>'ADU-91'!$B$7</f>
        <v>Subs EU</v>
      </c>
      <c r="J96" s="134">
        <f>'ADU-91'!$B$18</f>
        <v>521000</v>
      </c>
      <c r="K96" s="134">
        <f>'ADU-91'!$B$21</f>
        <v>47723</v>
      </c>
      <c r="L96" s="134">
        <f>'ADU-91'!$B$22</f>
        <v>28899.000000000004</v>
      </c>
      <c r="M96" s="135">
        <f>'ADU-91'!$B$24</f>
        <v>6.7996136879747331</v>
      </c>
      <c r="N96" s="135">
        <f>'ADU-91'!$B$19/1000</f>
        <v>872.3</v>
      </c>
      <c r="O96" s="136"/>
      <c r="P96" s="137" t="str">
        <f>'ADU-91'!$B$5</f>
        <v>A investiguer</v>
      </c>
      <c r="Q96" s="140">
        <f>'ADU-91'!$B$16</f>
        <v>2030</v>
      </c>
      <c r="R96" s="283" t="str">
        <f t="shared" si="91"/>
        <v/>
      </c>
      <c r="S96" s="138">
        <f t="shared" si="92"/>
        <v>0</v>
      </c>
      <c r="T96" s="138">
        <f t="shared" si="93"/>
        <v>0</v>
      </c>
      <c r="U96" s="138">
        <f t="shared" si="94"/>
        <v>0</v>
      </c>
      <c r="V96" s="138">
        <f t="shared" si="95"/>
        <v>0</v>
      </c>
      <c r="W96" s="138">
        <f t="shared" si="96"/>
        <v>0</v>
      </c>
      <c r="X96" s="138">
        <f t="shared" si="97"/>
        <v>0</v>
      </c>
      <c r="Y96" s="138">
        <f t="shared" si="98"/>
        <v>0</v>
      </c>
      <c r="AA96" s="287">
        <f>IF(('Synthèse PER'!P96="A faire")*AND('Synthèse PER'!F96="Agriculture"),'Synthèse PER'!H96,0)</f>
        <v>0</v>
      </c>
      <c r="AB96" s="287">
        <f>IF(('Synthèse PER'!P96="A faire")*AND('Synthèse PER'!F96="Industrie"),'Synthèse PER'!H96,0)</f>
        <v>0</v>
      </c>
      <c r="AC96" s="287">
        <f>IF(('Synthèse PER'!P96="A faire")*AND('Synthèse PER'!F96="Citoyen"),'Synthèse PER'!H96,0)</f>
        <v>0</v>
      </c>
      <c r="AD96" s="287">
        <f>IF(('Synthèse PER'!P96="A faire")*AND('Synthèse PER'!F96="IDELUX"),'Synthèse PER'!H96,0)</f>
        <v>0</v>
      </c>
      <c r="AE96" s="290">
        <f>IF(('Synthèse PER'!P96="A faire")*AND('Synthèse PER'!F96="AC MESSANCY"),'Synthèse PER'!H96,0)</f>
        <v>0</v>
      </c>
      <c r="AF96" s="287">
        <f>IF(('Synthèse PER'!P96="A faire")*AND('Synthèse PER'!F96="Tertiaire"),'Synthèse PER'!H96,0)</f>
        <v>0</v>
      </c>
      <c r="AG96" s="288"/>
      <c r="AH96" s="290">
        <f>IF(('Synthèse PER'!P96="A faire")*AND('Synthèse PER'!F96="Agriculture"),'Synthèse PER'!J96,0)</f>
        <v>0</v>
      </c>
      <c r="AI96" s="290">
        <f>IF(('Synthèse PER'!P96="A faire")*AND('Synthèse PER'!F96="Industrie"),'Synthèse PER'!J96,0)</f>
        <v>0</v>
      </c>
      <c r="AJ96" s="290">
        <f>IF(('Synthèse PER'!P96="A faire")*AND('Synthèse PER'!F96="Citoyen"),'Synthèse PER'!J96,0)</f>
        <v>0</v>
      </c>
      <c r="AK96" s="290">
        <f>IF(('Synthèse PER'!P96="A faire")*AND('Synthèse PER'!F96="IDELUX"),'Synthèse PER'!J96,0)</f>
        <v>0</v>
      </c>
      <c r="AL96" s="290">
        <f>IF(('Synthèse PER'!P96="A faire")*AND('Synthèse PER'!F96="AC MESSANCY"),'Synthèse PER'!J96,0)</f>
        <v>0</v>
      </c>
      <c r="AM96" s="290">
        <f>IF(('Synthèse PER'!P96="A faire")*AND('Synthèse PER'!F96="Tertiaire"),'Synthèse PER'!J96,0)</f>
        <v>0</v>
      </c>
      <c r="AN96" s="288"/>
      <c r="AO96" s="290">
        <f>IF(('Synthèse PER'!P96="A faire")*AND('Synthèse PER'!E96="Territoire"),'Synthèse PER'!H96,0)</f>
        <v>0</v>
      </c>
      <c r="AP96" s="290">
        <f>IF(('Synthèse PER'!P96="A faire")*AND('Synthèse PER'!E96="Agriculture"),'Synthèse PER'!H96,0)</f>
        <v>0</v>
      </c>
      <c r="AQ96" s="290">
        <f>IF(('Synthèse PER'!P96="A faire")*AND('Synthèse PER'!E96="Industrie"),'Synthèse PER'!H96,0)</f>
        <v>0</v>
      </c>
      <c r="AR96" s="290">
        <f>IF(('Synthèse PER'!P96="A faire")*AND('Synthèse PER'!E96="Logement"),'Synthèse PER'!H96,0)</f>
        <v>0</v>
      </c>
      <c r="AS96" s="290">
        <f>IF(('Synthèse PER'!P96="A faire")*AND('Synthèse PER'!E96="Tertiaire"),'Synthèse PER'!H96,0)</f>
        <v>0</v>
      </c>
      <c r="AT96" s="290">
        <f>IF(('Synthèse PER'!P96="A faire")*AND('Synthèse PER'!E96="Transport"),'Synthèse PER'!H96,0)</f>
        <v>0</v>
      </c>
      <c r="AU96" s="290">
        <f>IF(('Synthèse PER'!P96="A faire")*AND('Synthèse PER'!E96="Communal"),'Synthèse PER'!H96,0)</f>
        <v>0</v>
      </c>
      <c r="AV96" s="288"/>
      <c r="AW96" s="290">
        <f>IF(('Synthèse PER'!P96="A faire")*AND('Synthèse PER'!E96="Territoire"),'Synthèse PER'!J96,0)</f>
        <v>0</v>
      </c>
      <c r="AX96" s="290">
        <f>IF(('Synthèse PER'!P96="A faire")*AND('Synthèse PER'!E96="Agriculture"),'Synthèse PER'!J96,0)</f>
        <v>0</v>
      </c>
      <c r="AY96" s="290">
        <f>IF(('Synthèse PER'!P96="A faire")*AND('Synthèse PER'!E96="Industrie"),'Synthèse PER'!J96,0)</f>
        <v>0</v>
      </c>
      <c r="AZ96" s="290">
        <f>IF(('Synthèse PER'!P96="A faire")*AND('Synthèse PER'!E96="Logement"),'Synthèse PER'!J96,0)</f>
        <v>0</v>
      </c>
      <c r="BA96" s="290">
        <f>IF(('Synthèse PER'!P96="A faire")*AND('Synthèse PER'!E96="Tertiaire"),'Synthèse PER'!J96,0)</f>
        <v>0</v>
      </c>
      <c r="BB96" s="290">
        <f>IF(('Synthèse PER'!P96="A faire")*AND('Synthèse PER'!E96="Transport"),'Synthèse PER'!J96,0)</f>
        <v>0</v>
      </c>
      <c r="BC96" s="290">
        <f>IF(('Synthèse PER'!P96="A faire")*AND('Synthèse PER'!E96="Communal"),'Synthèse PER'!J96,0)</f>
        <v>0</v>
      </c>
      <c r="BD96" s="288"/>
      <c r="BE96" s="290">
        <f>IF(('Synthèse PER'!P96="A faire")*AND('Synthèse PER'!E96="Territoire"),'Synthèse PER'!K96,0)</f>
        <v>0</v>
      </c>
      <c r="BF96" s="290">
        <f>IF(('Synthèse PER'!P96="A faire")*AND('Synthèse PER'!E96="Agriculture"),'Synthèse PER'!K96,0)</f>
        <v>0</v>
      </c>
      <c r="BG96" s="290">
        <f>IF(('Synthèse PER'!P96="A faire")*AND('Synthèse PER'!E96="Industrie"),'Synthèse PER'!K96,0)</f>
        <v>0</v>
      </c>
      <c r="BH96" s="290">
        <f>IF(('Synthèse PER'!P96="A faire")*AND('Synthèse PER'!E96="Logement"),'Synthèse PER'!K96,0)</f>
        <v>0</v>
      </c>
      <c r="BI96" s="290">
        <f>IF(('Synthèse PER'!P96="A faire")*AND('Synthèse PER'!E96="Tertiaire"),'Synthèse PER'!K96,0)</f>
        <v>0</v>
      </c>
      <c r="BJ96" s="290">
        <f>IF(('Synthèse PER'!P96="A faire")*AND('Synthèse PER'!E96="Transport"),'Synthèse PER'!K96,0)</f>
        <v>0</v>
      </c>
      <c r="BK96" s="290">
        <f>IF(('Synthèse PER'!P96="A faire")*AND('Synthèse PER'!E96="Communal"),'Synthèse PER'!K96,0)</f>
        <v>0</v>
      </c>
      <c r="BL96" s="288"/>
      <c r="BM96" s="290">
        <f>IF(('Synthèse PER'!P96="A faire")*AND('Synthèse PER'!E96="Territoire"),'Synthèse PER'!L96,0)</f>
        <v>0</v>
      </c>
      <c r="BN96" s="290">
        <f>IF(('Synthèse PER'!P96="A faire")*AND('Synthèse PER'!E96="Agriculture"),'Synthèse PER'!L96,0)</f>
        <v>0</v>
      </c>
      <c r="BO96" s="290">
        <f>IF(('Synthèse PER'!P96="A faire")*AND('Synthèse PER'!E96="Industrie"),'Synthèse PER'!L96,0)</f>
        <v>0</v>
      </c>
      <c r="BP96" s="290">
        <f>IF(('Synthèse PER'!P96="A faire")*AND('Synthèse PER'!E96="Logement"),'Synthèse PER'!L96,0)</f>
        <v>0</v>
      </c>
      <c r="BQ96" s="290">
        <f>IF(('Synthèse PER'!P96="A faire")*AND('Synthèse PER'!E96="Tertiaire"),'Synthèse PER'!L96,0)</f>
        <v>0</v>
      </c>
      <c r="BR96" s="290">
        <f>IF(('Synthèse PER'!P96="A faire")*AND('Synthèse PER'!E96="Transport"),'Synthèse PER'!L96,0)</f>
        <v>0</v>
      </c>
      <c r="BS96" s="290">
        <f>IF(('Synthèse PER'!P96="A faire")*AND('Synthèse PER'!E96="Communal"),'Synthèse PER'!L96,0)</f>
        <v>0</v>
      </c>
      <c r="BT96" s="290">
        <f>IF(('Synthèse PER'!Q96="A faire")*AND('Synthèse PER'!F96="Communal"),'Synthèse PER'!M96,0)</f>
        <v>0</v>
      </c>
    </row>
    <row r="97" spans="1:72" s="139" customFormat="1" x14ac:dyDescent="0.25">
      <c r="A97" s="369" t="s">
        <v>793</v>
      </c>
      <c r="B97" s="414" t="str">
        <f>'ADU-92'!B$3:E$3</f>
        <v>ER Electricité</v>
      </c>
      <c r="C97" s="419" t="str">
        <f>'ADU-92'!$B$8</f>
        <v>Exploitations agricoles</v>
      </c>
      <c r="D97" s="133" t="str">
        <f>'ADU-92'!$B$9</f>
        <v>Centrale biogaz - cultures dédiées</v>
      </c>
      <c r="E97" s="133" t="str">
        <f>'ADU-92'!$B$4</f>
        <v>Agriculture</v>
      </c>
      <c r="F97" s="133" t="str">
        <f>'ADU-92'!$B$12</f>
        <v>Agriculture</v>
      </c>
      <c r="G97" s="133" t="str">
        <f>'ADU-92'!$B$6</f>
        <v>Montage</v>
      </c>
      <c r="H97" s="134">
        <f>'ADU-92'!$B$17</f>
        <v>2084000</v>
      </c>
      <c r="I97" s="133" t="str">
        <f>'ADU-92'!$B$7</f>
        <v>Subs EU</v>
      </c>
      <c r="J97" s="134">
        <f>'ADU-92'!$B$18</f>
        <v>625200</v>
      </c>
      <c r="K97" s="134">
        <f>'ADU-92'!$B$21</f>
        <v>196214.95</v>
      </c>
      <c r="L97" s="134">
        <f>'ADU-92'!$B$22</f>
        <v>118819.35</v>
      </c>
      <c r="M97" s="135">
        <f>'ADU-92'!$B$24</f>
        <v>4.6306068894720349</v>
      </c>
      <c r="N97" s="135">
        <f>'ADU-92'!$B$19/1000</f>
        <v>3586.4950000000003</v>
      </c>
      <c r="O97" s="136"/>
      <c r="P97" s="137" t="str">
        <f>'ADU-92'!$B$5</f>
        <v>A investiguer</v>
      </c>
      <c r="Q97" s="140">
        <f>'ADU-92'!$B$16</f>
        <v>2030</v>
      </c>
      <c r="R97" s="283" t="str">
        <f t="shared" si="91"/>
        <v/>
      </c>
      <c r="S97" s="138">
        <f t="shared" si="92"/>
        <v>0</v>
      </c>
      <c r="T97" s="138">
        <f t="shared" si="93"/>
        <v>0</v>
      </c>
      <c r="U97" s="138">
        <f t="shared" si="94"/>
        <v>0</v>
      </c>
      <c r="V97" s="138">
        <f t="shared" si="95"/>
        <v>0</v>
      </c>
      <c r="W97" s="138">
        <f t="shared" si="96"/>
        <v>0</v>
      </c>
      <c r="X97" s="138">
        <f t="shared" si="97"/>
        <v>0</v>
      </c>
      <c r="Y97" s="138">
        <f t="shared" si="98"/>
        <v>0</v>
      </c>
      <c r="AA97" s="287">
        <f>IF(('Synthèse PER'!P97="A faire")*AND('Synthèse PER'!F97="Agriculture"),'Synthèse PER'!H97,0)</f>
        <v>0</v>
      </c>
      <c r="AB97" s="287">
        <f>IF(('Synthèse PER'!P97="A faire")*AND('Synthèse PER'!F97="Industrie"),'Synthèse PER'!H97,0)</f>
        <v>0</v>
      </c>
      <c r="AC97" s="287">
        <f>IF(('Synthèse PER'!P97="A faire")*AND('Synthèse PER'!F97="Citoyen"),'Synthèse PER'!H97,0)</f>
        <v>0</v>
      </c>
      <c r="AD97" s="287">
        <f>IF(('Synthèse PER'!P97="A faire")*AND('Synthèse PER'!F97="IDELUX"),'Synthèse PER'!H97,0)</f>
        <v>0</v>
      </c>
      <c r="AE97" s="290">
        <f>IF(('Synthèse PER'!P97="A faire")*AND('Synthèse PER'!F97="AC MESSANCY"),'Synthèse PER'!H97,0)</f>
        <v>0</v>
      </c>
      <c r="AF97" s="287">
        <f>IF(('Synthèse PER'!P97="A faire")*AND('Synthèse PER'!F97="Tertiaire"),'Synthèse PER'!H97,0)</f>
        <v>0</v>
      </c>
      <c r="AG97" s="288"/>
      <c r="AH97" s="290">
        <f>IF(('Synthèse PER'!P97="A faire")*AND('Synthèse PER'!F97="Agriculture"),'Synthèse PER'!J97,0)</f>
        <v>0</v>
      </c>
      <c r="AI97" s="290">
        <f>IF(('Synthèse PER'!P97="A faire")*AND('Synthèse PER'!F97="Industrie"),'Synthèse PER'!J97,0)</f>
        <v>0</v>
      </c>
      <c r="AJ97" s="290">
        <f>IF(('Synthèse PER'!P97="A faire")*AND('Synthèse PER'!F97="Citoyen"),'Synthèse PER'!J97,0)</f>
        <v>0</v>
      </c>
      <c r="AK97" s="290">
        <f>IF(('Synthèse PER'!P97="A faire")*AND('Synthèse PER'!F97="IDELUX"),'Synthèse PER'!J97,0)</f>
        <v>0</v>
      </c>
      <c r="AL97" s="290">
        <f>IF(('Synthèse PER'!P97="A faire")*AND('Synthèse PER'!F97="AC MESSANCY"),'Synthèse PER'!J97,0)</f>
        <v>0</v>
      </c>
      <c r="AM97" s="290">
        <f>IF(('Synthèse PER'!P97="A faire")*AND('Synthèse PER'!F97="Tertiaire"),'Synthèse PER'!J97,0)</f>
        <v>0</v>
      </c>
      <c r="AN97" s="288"/>
      <c r="AO97" s="290">
        <f>IF(('Synthèse PER'!P97="A faire")*AND('Synthèse PER'!E97="Territoire"),'Synthèse PER'!H97,0)</f>
        <v>0</v>
      </c>
      <c r="AP97" s="290">
        <f>IF(('Synthèse PER'!P97="A faire")*AND('Synthèse PER'!E97="Agriculture"),'Synthèse PER'!H97,0)</f>
        <v>0</v>
      </c>
      <c r="AQ97" s="290">
        <f>IF(('Synthèse PER'!P97="A faire")*AND('Synthèse PER'!E97="Industrie"),'Synthèse PER'!H97,0)</f>
        <v>0</v>
      </c>
      <c r="AR97" s="290">
        <f>IF(('Synthèse PER'!P97="A faire")*AND('Synthèse PER'!E97="Logement"),'Synthèse PER'!H97,0)</f>
        <v>0</v>
      </c>
      <c r="AS97" s="290">
        <f>IF(('Synthèse PER'!P97="A faire")*AND('Synthèse PER'!E97="Tertiaire"),'Synthèse PER'!H97,0)</f>
        <v>0</v>
      </c>
      <c r="AT97" s="290">
        <f>IF(('Synthèse PER'!P97="A faire")*AND('Synthèse PER'!E97="Transport"),'Synthèse PER'!H97,0)</f>
        <v>0</v>
      </c>
      <c r="AU97" s="290">
        <f>IF(('Synthèse PER'!P97="A faire")*AND('Synthèse PER'!E97="Communal"),'Synthèse PER'!H97,0)</f>
        <v>0</v>
      </c>
      <c r="AV97" s="288"/>
      <c r="AW97" s="290">
        <f>IF(('Synthèse PER'!P97="A faire")*AND('Synthèse PER'!E97="Territoire"),'Synthèse PER'!J97,0)</f>
        <v>0</v>
      </c>
      <c r="AX97" s="290">
        <f>IF(('Synthèse PER'!P97="A faire")*AND('Synthèse PER'!E97="Agriculture"),'Synthèse PER'!J97,0)</f>
        <v>0</v>
      </c>
      <c r="AY97" s="290">
        <f>IF(('Synthèse PER'!P97="A faire")*AND('Synthèse PER'!E97="Industrie"),'Synthèse PER'!J97,0)</f>
        <v>0</v>
      </c>
      <c r="AZ97" s="290">
        <f>IF(('Synthèse PER'!P97="A faire")*AND('Synthèse PER'!E97="Logement"),'Synthèse PER'!J97,0)</f>
        <v>0</v>
      </c>
      <c r="BA97" s="290">
        <f>IF(('Synthèse PER'!P97="A faire")*AND('Synthèse PER'!E97="Tertiaire"),'Synthèse PER'!J97,0)</f>
        <v>0</v>
      </c>
      <c r="BB97" s="290">
        <f>IF(('Synthèse PER'!P97="A faire")*AND('Synthèse PER'!E97="Transport"),'Synthèse PER'!J97,0)</f>
        <v>0</v>
      </c>
      <c r="BC97" s="290">
        <f>IF(('Synthèse PER'!P97="A faire")*AND('Synthèse PER'!E97="Communal"),'Synthèse PER'!J97,0)</f>
        <v>0</v>
      </c>
      <c r="BD97" s="288"/>
      <c r="BE97" s="290">
        <f>IF(('Synthèse PER'!P97="A faire")*AND('Synthèse PER'!E97="Territoire"),'Synthèse PER'!K97,0)</f>
        <v>0</v>
      </c>
      <c r="BF97" s="290">
        <f>IF(('Synthèse PER'!P97="A faire")*AND('Synthèse PER'!E97="Agriculture"),'Synthèse PER'!K97,0)</f>
        <v>0</v>
      </c>
      <c r="BG97" s="290">
        <f>IF(('Synthèse PER'!P97="A faire")*AND('Synthèse PER'!E97="Industrie"),'Synthèse PER'!K97,0)</f>
        <v>0</v>
      </c>
      <c r="BH97" s="290">
        <f>IF(('Synthèse PER'!P97="A faire")*AND('Synthèse PER'!E97="Logement"),'Synthèse PER'!K97,0)</f>
        <v>0</v>
      </c>
      <c r="BI97" s="290">
        <f>IF(('Synthèse PER'!P97="A faire")*AND('Synthèse PER'!E97="Tertiaire"),'Synthèse PER'!K97,0)</f>
        <v>0</v>
      </c>
      <c r="BJ97" s="290">
        <f>IF(('Synthèse PER'!P97="A faire")*AND('Synthèse PER'!E97="Transport"),'Synthèse PER'!K97,0)</f>
        <v>0</v>
      </c>
      <c r="BK97" s="290">
        <f>IF(('Synthèse PER'!P97="A faire")*AND('Synthèse PER'!E97="Communal"),'Synthèse PER'!K97,0)</f>
        <v>0</v>
      </c>
      <c r="BL97" s="288"/>
      <c r="BM97" s="290">
        <f>IF(('Synthèse PER'!P97="A faire")*AND('Synthèse PER'!E97="Territoire"),'Synthèse PER'!L97,0)</f>
        <v>0</v>
      </c>
      <c r="BN97" s="290">
        <f>IF(('Synthèse PER'!P97="A faire")*AND('Synthèse PER'!E97="Agriculture"),'Synthèse PER'!L97,0)</f>
        <v>0</v>
      </c>
      <c r="BO97" s="290">
        <f>IF(('Synthèse PER'!P97="A faire")*AND('Synthèse PER'!E97="Industrie"),'Synthèse PER'!L97,0)</f>
        <v>0</v>
      </c>
      <c r="BP97" s="290">
        <f>IF(('Synthèse PER'!P97="A faire")*AND('Synthèse PER'!E97="Logement"),'Synthèse PER'!L97,0)</f>
        <v>0</v>
      </c>
      <c r="BQ97" s="290">
        <f>IF(('Synthèse PER'!P97="A faire")*AND('Synthèse PER'!E97="Tertiaire"),'Synthèse PER'!L97,0)</f>
        <v>0</v>
      </c>
      <c r="BR97" s="290">
        <f>IF(('Synthèse PER'!P97="A faire")*AND('Synthèse PER'!E97="Transport"),'Synthèse PER'!L97,0)</f>
        <v>0</v>
      </c>
      <c r="BS97" s="290">
        <f>IF(('Synthèse PER'!P97="A faire")*AND('Synthèse PER'!E97="Communal"),'Synthèse PER'!L97,0)</f>
        <v>0</v>
      </c>
      <c r="BT97" s="290">
        <f>IF(('Synthèse PER'!Q97="A faire")*AND('Synthèse PER'!F97="Communal"),'Synthèse PER'!M97,0)</f>
        <v>0</v>
      </c>
    </row>
    <row r="98" spans="1:72" s="139" customFormat="1" x14ac:dyDescent="0.25">
      <c r="A98" s="369" t="s">
        <v>902</v>
      </c>
      <c r="B98" s="414" t="str">
        <f>'ADU-93'!B$3:E$3</f>
        <v>ER Electricité</v>
      </c>
      <c r="C98" s="419" t="str">
        <f>'ADU-93'!$B$8</f>
        <v xml:space="preserve">Déchets </v>
      </c>
      <c r="D98" s="133" t="str">
        <f>'ADU-93'!$B$9</f>
        <v>Part biogaz IDELUX</v>
      </c>
      <c r="E98" s="133" t="str">
        <f>'ADU-93'!$B$4</f>
        <v>Territoire</v>
      </c>
      <c r="F98" s="133" t="str">
        <f>'ADU-93'!$B$12</f>
        <v>IDELUX</v>
      </c>
      <c r="G98" s="133" t="str">
        <f>'ADU-93'!$B$6</f>
        <v>Montage</v>
      </c>
      <c r="H98" s="134">
        <f>'ADU-93'!$B$17</f>
        <v>0</v>
      </c>
      <c r="I98" s="133" t="str">
        <f>'ADU-93'!$B$7</f>
        <v>Subs EU</v>
      </c>
      <c r="J98" s="134">
        <f>'ADU-93'!$B$18</f>
        <v>0</v>
      </c>
      <c r="K98" s="134">
        <f>'ADU-93'!$B$21</f>
        <v>66485.759999999995</v>
      </c>
      <c r="L98" s="134">
        <f>'ADU-93'!$B$22</f>
        <v>18006.560000000001</v>
      </c>
      <c r="M98" s="135">
        <f>'ADU-93'!$B$24</f>
        <v>0</v>
      </c>
      <c r="N98" s="135">
        <f>'ADU-93'!$B$19/1000</f>
        <v>0</v>
      </c>
      <c r="O98" s="136"/>
      <c r="P98" s="137" t="str">
        <f>'ADU-93'!$B$5</f>
        <v>Terminé</v>
      </c>
      <c r="Q98" s="140">
        <f>'ADU-93'!$B$16</f>
        <v>2008</v>
      </c>
      <c r="R98" s="283">
        <f>IF(P98="terminé", N98,"")</f>
        <v>0</v>
      </c>
      <c r="S98" s="138">
        <f>IF((P98="Terminé")*AND(E98="Territoire"),N98,0)</f>
        <v>0</v>
      </c>
      <c r="T98" s="138">
        <f>IF((P98="Terminé")*AND(E98="Agriculture"),N98,0)</f>
        <v>0</v>
      </c>
      <c r="U98" s="138">
        <f>IF((P98="Terminé")*AND(E98="Industrie"), N98,0)</f>
        <v>0</v>
      </c>
      <c r="V98" s="138">
        <f>IF((P98="Terminé")*AND(E98="Logement"),N98,0)</f>
        <v>0</v>
      </c>
      <c r="W98" s="138">
        <f>IF((P98="Terminé")*AND(E98="Tertiaire"),N98,0)</f>
        <v>0</v>
      </c>
      <c r="X98" s="138">
        <f>IF((P98="Terminé")*AND(E98="Transport"),N98,0)</f>
        <v>0</v>
      </c>
      <c r="Y98" s="138">
        <f>IF((P98="Terminé")*AND(E98="Communal"),N98,0)</f>
        <v>0</v>
      </c>
      <c r="AA98" s="287">
        <f>IF(('Synthèse PER'!P98="A faire")*AND('Synthèse PER'!F98="Agriculture"),'Synthèse PER'!H98,0)</f>
        <v>0</v>
      </c>
      <c r="AB98" s="287">
        <f>IF(('Synthèse PER'!P98="A faire")*AND('Synthèse PER'!F98="Industrie"),'Synthèse PER'!H98,0)</f>
        <v>0</v>
      </c>
      <c r="AC98" s="287">
        <f>IF(('Synthèse PER'!P98="A faire")*AND('Synthèse PER'!F98="Citoyen"),'Synthèse PER'!H98,0)</f>
        <v>0</v>
      </c>
      <c r="AD98" s="287">
        <f>IF(('Synthèse PER'!P98="A faire")*AND('Synthèse PER'!F98="IDELUX"),'Synthèse PER'!H98,0)</f>
        <v>0</v>
      </c>
      <c r="AE98" s="290">
        <f>IF(('Synthèse PER'!P98="A faire")*AND('Synthèse PER'!F98="AC MESSANCY"),'Synthèse PER'!H98,0)</f>
        <v>0</v>
      </c>
      <c r="AF98" s="287">
        <f>IF(('Synthèse PER'!P98="A faire")*AND('Synthèse PER'!F98="Tertiaire"),'Synthèse PER'!H98,0)</f>
        <v>0</v>
      </c>
      <c r="AG98" s="288"/>
      <c r="AH98" s="290">
        <f>IF(('Synthèse PER'!P98="A faire")*AND('Synthèse PER'!F98="Agriculture"),'Synthèse PER'!J98,0)</f>
        <v>0</v>
      </c>
      <c r="AI98" s="290">
        <f>IF(('Synthèse PER'!P98="A faire")*AND('Synthèse PER'!F98="Industrie"),'Synthèse PER'!J98,0)</f>
        <v>0</v>
      </c>
      <c r="AJ98" s="290">
        <f>IF(('Synthèse PER'!P98="A faire")*AND('Synthèse PER'!F98="Citoyen"),'Synthèse PER'!J98,0)</f>
        <v>0</v>
      </c>
      <c r="AK98" s="290">
        <f>IF(('Synthèse PER'!P98="A faire")*AND('Synthèse PER'!F98="IDELUX"),'Synthèse PER'!J98,0)</f>
        <v>0</v>
      </c>
      <c r="AL98" s="290">
        <f>IF(('Synthèse PER'!P98="A faire")*AND('Synthèse PER'!F98="AC MESSANCY"),'Synthèse PER'!J98,0)</f>
        <v>0</v>
      </c>
      <c r="AM98" s="290">
        <f>IF(('Synthèse PER'!P98="A faire")*AND('Synthèse PER'!F98="Tertiaire"),'Synthèse PER'!J98,0)</f>
        <v>0</v>
      </c>
      <c r="AN98" s="288"/>
      <c r="AO98" s="290">
        <f>IF(('Synthèse PER'!P98="A faire")*AND('Synthèse PER'!E98="Territoire"),'Synthèse PER'!H98,0)</f>
        <v>0</v>
      </c>
      <c r="AP98" s="290">
        <f>IF(('Synthèse PER'!P98="A faire")*AND('Synthèse PER'!E98="Agriculture"),'Synthèse PER'!H98,0)</f>
        <v>0</v>
      </c>
      <c r="AQ98" s="290">
        <f>IF(('Synthèse PER'!P98="A faire")*AND('Synthèse PER'!E98="Industrie"),'Synthèse PER'!H98,0)</f>
        <v>0</v>
      </c>
      <c r="AR98" s="290">
        <f>IF(('Synthèse PER'!P98="A faire")*AND('Synthèse PER'!E98="Logement"),'Synthèse PER'!H98,0)</f>
        <v>0</v>
      </c>
      <c r="AS98" s="290">
        <f>IF(('Synthèse PER'!P98="A faire")*AND('Synthèse PER'!E98="Tertiaire"),'Synthèse PER'!H98,0)</f>
        <v>0</v>
      </c>
      <c r="AT98" s="290">
        <f>IF(('Synthèse PER'!P98="A faire")*AND('Synthèse PER'!E98="Transport"),'Synthèse PER'!H98,0)</f>
        <v>0</v>
      </c>
      <c r="AU98" s="290">
        <f>IF(('Synthèse PER'!P98="A faire")*AND('Synthèse PER'!E98="Communal"),'Synthèse PER'!H98,0)</f>
        <v>0</v>
      </c>
      <c r="AV98" s="288"/>
      <c r="AW98" s="290">
        <f>IF(('Synthèse PER'!P98="A faire")*AND('Synthèse PER'!E98="Territoire"),'Synthèse PER'!J98,0)</f>
        <v>0</v>
      </c>
      <c r="AX98" s="290">
        <f>IF(('Synthèse PER'!P98="A faire")*AND('Synthèse PER'!E98="Agriculture"),'Synthèse PER'!J98,0)</f>
        <v>0</v>
      </c>
      <c r="AY98" s="290">
        <f>IF(('Synthèse PER'!P98="A faire")*AND('Synthèse PER'!E98="Industrie"),'Synthèse PER'!J98,0)</f>
        <v>0</v>
      </c>
      <c r="AZ98" s="290">
        <f>IF(('Synthèse PER'!P98="A faire")*AND('Synthèse PER'!E98="Logement"),'Synthèse PER'!J98,0)</f>
        <v>0</v>
      </c>
      <c r="BA98" s="290">
        <f>IF(('Synthèse PER'!P98="A faire")*AND('Synthèse PER'!E98="Tertiaire"),'Synthèse PER'!J98,0)</f>
        <v>0</v>
      </c>
      <c r="BB98" s="290">
        <f>IF(('Synthèse PER'!P98="A faire")*AND('Synthèse PER'!E98="Transport"),'Synthèse PER'!J98,0)</f>
        <v>0</v>
      </c>
      <c r="BC98" s="290">
        <f>IF(('Synthèse PER'!P98="A faire")*AND('Synthèse PER'!E98="Communal"),'Synthèse PER'!J98,0)</f>
        <v>0</v>
      </c>
      <c r="BD98" s="288"/>
      <c r="BE98" s="290">
        <f>IF(('Synthèse PER'!P98="A faire")*AND('Synthèse PER'!E98="Territoire"),'Synthèse PER'!K98,0)</f>
        <v>0</v>
      </c>
      <c r="BF98" s="290">
        <f>IF(('Synthèse PER'!P98="A faire")*AND('Synthèse PER'!E98="Agriculture"),'Synthèse PER'!K98,0)</f>
        <v>0</v>
      </c>
      <c r="BG98" s="290">
        <f>IF(('Synthèse PER'!P98="A faire")*AND('Synthèse PER'!E98="Industrie"),'Synthèse PER'!K98,0)</f>
        <v>0</v>
      </c>
      <c r="BH98" s="290">
        <f>IF(('Synthèse PER'!P98="A faire")*AND('Synthèse PER'!E98="Logement"),'Synthèse PER'!K98,0)</f>
        <v>0</v>
      </c>
      <c r="BI98" s="290">
        <f>IF(('Synthèse PER'!P98="A faire")*AND('Synthèse PER'!E98="Tertiaire"),'Synthèse PER'!K98,0)</f>
        <v>0</v>
      </c>
      <c r="BJ98" s="290">
        <f>IF(('Synthèse PER'!P98="A faire")*AND('Synthèse PER'!E98="Transport"),'Synthèse PER'!K98,0)</f>
        <v>0</v>
      </c>
      <c r="BK98" s="290">
        <f>IF(('Synthèse PER'!P98="A faire")*AND('Synthèse PER'!E98="Communal"),'Synthèse PER'!K98,0)</f>
        <v>0</v>
      </c>
      <c r="BL98" s="288"/>
      <c r="BM98" s="290">
        <f>IF(('Synthèse PER'!P98="A faire")*AND('Synthèse PER'!E98="Territoire"),'Synthèse PER'!L98,0)</f>
        <v>0</v>
      </c>
      <c r="BN98" s="290">
        <f>IF(('Synthèse PER'!P98="A faire")*AND('Synthèse PER'!E98="Agriculture"),'Synthèse PER'!L98,0)</f>
        <v>0</v>
      </c>
      <c r="BO98" s="290">
        <f>IF(('Synthèse PER'!P98="A faire")*AND('Synthèse PER'!E98="Industrie"),'Synthèse PER'!L98,0)</f>
        <v>0</v>
      </c>
      <c r="BP98" s="290">
        <f>IF(('Synthèse PER'!P98="A faire")*AND('Synthèse PER'!E98="Logement"),'Synthèse PER'!L98,0)</f>
        <v>0</v>
      </c>
      <c r="BQ98" s="290">
        <f>IF(('Synthèse PER'!P98="A faire")*AND('Synthèse PER'!E98="Tertiaire"),'Synthèse PER'!L98,0)</f>
        <v>0</v>
      </c>
      <c r="BR98" s="290">
        <f>IF(('Synthèse PER'!P98="A faire")*AND('Synthèse PER'!E98="Transport"),'Synthèse PER'!L98,0)</f>
        <v>0</v>
      </c>
      <c r="BS98" s="290">
        <f>IF(('Synthèse PER'!P98="A faire")*AND('Synthèse PER'!E98="Communal"),'Synthèse PER'!L98,0)</f>
        <v>0</v>
      </c>
      <c r="BT98" s="290">
        <f>IF(('Synthèse PER'!Q98="A faire")*AND('Synthèse PER'!F98="Communal"),'Synthèse PER'!M98,0)</f>
        <v>0</v>
      </c>
    </row>
    <row r="99" spans="1:72" s="139" customFormat="1" x14ac:dyDescent="0.25">
      <c r="A99" s="369" t="s">
        <v>903</v>
      </c>
      <c r="B99" s="502" t="str">
        <f>'ADU-94'!B$3:E$3</f>
        <v>ER Electricité</v>
      </c>
      <c r="C99" s="419" t="str">
        <f>'ADU-94'!$B$8</f>
        <v>Cogénération</v>
      </c>
      <c r="D99" s="133" t="str">
        <f>'ADU-94'!$B$9</f>
        <v>Cogénération CORA</v>
      </c>
      <c r="E99" s="133" t="str">
        <f>'ADU-94'!$B$4</f>
        <v>Tertiaire</v>
      </c>
      <c r="F99" s="133" t="str">
        <f>'ADU-94'!$B$12</f>
        <v>Tertiaire</v>
      </c>
      <c r="G99" s="133" t="str">
        <f>'ADU-94'!$B$6</f>
        <v>1/3 invest</v>
      </c>
      <c r="H99" s="134">
        <f>'ADU-94'!$B$17</f>
        <v>300000</v>
      </c>
      <c r="I99" s="133" t="str">
        <f>'ADU-94'!$B$7</f>
        <v>Subs RW</v>
      </c>
      <c r="J99" s="134">
        <f>'ADU-94'!$B$18</f>
        <v>90000</v>
      </c>
      <c r="K99" s="134">
        <f>'ADU-94'!$B$21</f>
        <v>235928.69999999998</v>
      </c>
      <c r="L99" s="134">
        <f>'ADU-94'!$B$22</f>
        <v>0</v>
      </c>
      <c r="M99" s="135">
        <f>'ADU-94'!$B$24</f>
        <v>0.89009942410567267</v>
      </c>
      <c r="N99" s="135">
        <f>'ADU-94'!$B$19/1000</f>
        <v>1072.4031818181816</v>
      </c>
      <c r="O99" s="136"/>
      <c r="P99" s="137" t="str">
        <f>'ADU-94'!$B$5</f>
        <v>Terminé</v>
      </c>
      <c r="Q99" s="140">
        <f>'ADU-94'!$B$16</f>
        <v>2017</v>
      </c>
      <c r="R99" s="283">
        <f t="shared" ref="R99:R100" si="99">IF(P99="terminé", N99,"")</f>
        <v>1072.4031818181816</v>
      </c>
      <c r="S99" s="138">
        <f t="shared" ref="S99:S100" si="100">IF((P99="Terminé")*AND(E99="Territoire"),N99,0)</f>
        <v>0</v>
      </c>
      <c r="T99" s="138">
        <f t="shared" ref="T99:T100" si="101">IF((P99="Terminé")*AND(E99="Agriculture"),N99,0)</f>
        <v>0</v>
      </c>
      <c r="U99" s="138">
        <f t="shared" ref="U99:U100" si="102">IF((P99="Terminé")*AND(E99="Industrie"), N99,0)</f>
        <v>0</v>
      </c>
      <c r="V99" s="138">
        <f t="shared" ref="V99:V100" si="103">IF((P99="Terminé")*AND(E99="Logement"),N99,0)</f>
        <v>0</v>
      </c>
      <c r="W99" s="138">
        <f t="shared" ref="W99:W100" si="104">IF((P99="Terminé")*AND(E99="Tertiaire"),N99,0)</f>
        <v>1072.4031818181816</v>
      </c>
      <c r="X99" s="138">
        <f t="shared" ref="X99:X100" si="105">IF((P99="Terminé")*AND(E99="Transport"),N99,0)</f>
        <v>0</v>
      </c>
      <c r="Y99" s="138">
        <f t="shared" ref="Y99:Y100" si="106">IF((P99="Terminé")*AND(E99="Communal"),N99,0)</f>
        <v>0</v>
      </c>
      <c r="AA99" s="287">
        <f>IF(('Synthèse PER'!P99="A faire")*AND('Synthèse PER'!F99="Agriculture"),'Synthèse PER'!H99,0)</f>
        <v>0</v>
      </c>
      <c r="AB99" s="287">
        <f>IF(('Synthèse PER'!P99="A faire")*AND('Synthèse PER'!F99="Industrie"),'Synthèse PER'!H99,0)</f>
        <v>0</v>
      </c>
      <c r="AC99" s="287">
        <f>IF(('Synthèse PER'!P99="A faire")*AND('Synthèse PER'!F99="Citoyen"),'Synthèse PER'!H99,0)</f>
        <v>0</v>
      </c>
      <c r="AD99" s="287">
        <f>IF(('Synthèse PER'!P99="A faire")*AND('Synthèse PER'!F99="IDELUX"),'Synthèse PER'!H99,0)</f>
        <v>0</v>
      </c>
      <c r="AE99" s="290">
        <f>IF(('Synthèse PER'!P99="A faire")*AND('Synthèse PER'!F99="AC MESSANCY"),'Synthèse PER'!H99,0)</f>
        <v>0</v>
      </c>
      <c r="AF99" s="287">
        <f>IF(('Synthèse PER'!P99="A faire")*AND('Synthèse PER'!F99="Tertiaire"),'Synthèse PER'!H99,0)</f>
        <v>0</v>
      </c>
      <c r="AG99" s="288"/>
      <c r="AH99" s="290">
        <f>IF(('Synthèse PER'!P99="A faire")*AND('Synthèse PER'!F99="Agriculture"),'Synthèse PER'!J99,0)</f>
        <v>0</v>
      </c>
      <c r="AI99" s="290">
        <f>IF(('Synthèse PER'!P99="A faire")*AND('Synthèse PER'!F99="Industrie"),'Synthèse PER'!J99,0)</f>
        <v>0</v>
      </c>
      <c r="AJ99" s="290">
        <f>IF(('Synthèse PER'!P99="A faire")*AND('Synthèse PER'!F99="Citoyen"),'Synthèse PER'!J99,0)</f>
        <v>0</v>
      </c>
      <c r="AK99" s="290">
        <f>IF(('Synthèse PER'!P99="A faire")*AND('Synthèse PER'!F99="IDELUX"),'Synthèse PER'!J99,0)</f>
        <v>0</v>
      </c>
      <c r="AL99" s="290">
        <f>IF(('Synthèse PER'!P99="A faire")*AND('Synthèse PER'!F99="AC MESSANCY"),'Synthèse PER'!J99,0)</f>
        <v>0</v>
      </c>
      <c r="AM99" s="290">
        <f>IF(('Synthèse PER'!P99="A faire")*AND('Synthèse PER'!F99="Tertiaire"),'Synthèse PER'!J99,0)</f>
        <v>0</v>
      </c>
      <c r="AN99" s="288"/>
      <c r="AO99" s="290">
        <f>IF(('Synthèse PER'!P99="A faire")*AND('Synthèse PER'!E99="Territoire"),'Synthèse PER'!H99,0)</f>
        <v>0</v>
      </c>
      <c r="AP99" s="290">
        <f>IF(('Synthèse PER'!P99="A faire")*AND('Synthèse PER'!E99="Agriculture"),'Synthèse PER'!H99,0)</f>
        <v>0</v>
      </c>
      <c r="AQ99" s="290">
        <f>IF(('Synthèse PER'!P99="A faire")*AND('Synthèse PER'!E99="Industrie"),'Synthèse PER'!H99,0)</f>
        <v>0</v>
      </c>
      <c r="AR99" s="290">
        <f>IF(('Synthèse PER'!P99="A faire")*AND('Synthèse PER'!E99="Logement"),'Synthèse PER'!H99,0)</f>
        <v>0</v>
      </c>
      <c r="AS99" s="290">
        <f>IF(('Synthèse PER'!P99="A faire")*AND('Synthèse PER'!E99="Tertiaire"),'Synthèse PER'!H99,0)</f>
        <v>0</v>
      </c>
      <c r="AT99" s="290">
        <f>IF(('Synthèse PER'!P99="A faire")*AND('Synthèse PER'!E99="Transport"),'Synthèse PER'!H99,0)</f>
        <v>0</v>
      </c>
      <c r="AU99" s="290">
        <f>IF(('Synthèse PER'!P99="A faire")*AND('Synthèse PER'!E99="Communal"),'Synthèse PER'!H99,0)</f>
        <v>0</v>
      </c>
      <c r="AV99" s="288"/>
      <c r="AW99" s="290">
        <f>IF(('Synthèse PER'!P99="A faire")*AND('Synthèse PER'!E99="Territoire"),'Synthèse PER'!J99,0)</f>
        <v>0</v>
      </c>
      <c r="AX99" s="290">
        <f>IF(('Synthèse PER'!P99="A faire")*AND('Synthèse PER'!E99="Agriculture"),'Synthèse PER'!J99,0)</f>
        <v>0</v>
      </c>
      <c r="AY99" s="290">
        <f>IF(('Synthèse PER'!P99="A faire")*AND('Synthèse PER'!E99="Industrie"),'Synthèse PER'!J99,0)</f>
        <v>0</v>
      </c>
      <c r="AZ99" s="290">
        <f>IF(('Synthèse PER'!P99="A faire")*AND('Synthèse PER'!E99="Logement"),'Synthèse PER'!J99,0)</f>
        <v>0</v>
      </c>
      <c r="BA99" s="290">
        <f>IF(('Synthèse PER'!P99="A faire")*AND('Synthèse PER'!E99="Tertiaire"),'Synthèse PER'!J99,0)</f>
        <v>0</v>
      </c>
      <c r="BB99" s="290">
        <f>IF(('Synthèse PER'!P99="A faire")*AND('Synthèse PER'!E99="Transport"),'Synthèse PER'!J99,0)</f>
        <v>0</v>
      </c>
      <c r="BC99" s="290">
        <f>IF(('Synthèse PER'!P99="A faire")*AND('Synthèse PER'!E99="Communal"),'Synthèse PER'!J99,0)</f>
        <v>0</v>
      </c>
      <c r="BD99" s="288"/>
      <c r="BE99" s="290">
        <f>IF(('Synthèse PER'!P99="A faire")*AND('Synthèse PER'!E99="Territoire"),'Synthèse PER'!K99,0)</f>
        <v>0</v>
      </c>
      <c r="BF99" s="290">
        <f>IF(('Synthèse PER'!P99="A faire")*AND('Synthèse PER'!E99="Agriculture"),'Synthèse PER'!K99,0)</f>
        <v>0</v>
      </c>
      <c r="BG99" s="290">
        <f>IF(('Synthèse PER'!P99="A faire")*AND('Synthèse PER'!E99="Industrie"),'Synthèse PER'!K99,0)</f>
        <v>0</v>
      </c>
      <c r="BH99" s="290">
        <f>IF(('Synthèse PER'!P99="A faire")*AND('Synthèse PER'!E99="Logement"),'Synthèse PER'!K99,0)</f>
        <v>0</v>
      </c>
      <c r="BI99" s="290">
        <f>IF(('Synthèse PER'!P99="A faire")*AND('Synthèse PER'!E99="Tertiaire"),'Synthèse PER'!K99,0)</f>
        <v>0</v>
      </c>
      <c r="BJ99" s="290">
        <f>IF(('Synthèse PER'!P99="A faire")*AND('Synthèse PER'!E99="Transport"),'Synthèse PER'!K99,0)</f>
        <v>0</v>
      </c>
      <c r="BK99" s="290">
        <f>IF(('Synthèse PER'!P99="A faire")*AND('Synthèse PER'!E99="Communal"),'Synthèse PER'!K99,0)</f>
        <v>0</v>
      </c>
      <c r="BL99" s="288"/>
      <c r="BM99" s="290">
        <f>IF(('Synthèse PER'!P99="A faire")*AND('Synthèse PER'!E99="Territoire"),'Synthèse PER'!L99,0)</f>
        <v>0</v>
      </c>
      <c r="BN99" s="290">
        <f>IF(('Synthèse PER'!P99="A faire")*AND('Synthèse PER'!E99="Agriculture"),'Synthèse PER'!L99,0)</f>
        <v>0</v>
      </c>
      <c r="BO99" s="290">
        <f>IF(('Synthèse PER'!P99="A faire")*AND('Synthèse PER'!E99="Industrie"),'Synthèse PER'!L99,0)</f>
        <v>0</v>
      </c>
      <c r="BP99" s="290">
        <f>IF(('Synthèse PER'!P99="A faire")*AND('Synthèse PER'!E99="Logement"),'Synthèse PER'!L99,0)</f>
        <v>0</v>
      </c>
      <c r="BQ99" s="290">
        <f>IF(('Synthèse PER'!P99="A faire")*AND('Synthèse PER'!E99="Tertiaire"),'Synthèse PER'!L99,0)</f>
        <v>0</v>
      </c>
      <c r="BR99" s="290">
        <f>IF(('Synthèse PER'!P99="A faire")*AND('Synthèse PER'!E99="Transport"),'Synthèse PER'!L99,0)</f>
        <v>0</v>
      </c>
      <c r="BS99" s="290">
        <f>IF(('Synthèse PER'!P99="A faire")*AND('Synthèse PER'!E99="Communal"),'Synthèse PER'!L99,0)</f>
        <v>0</v>
      </c>
      <c r="BT99" s="290">
        <f>IF(('Synthèse PER'!Q99="A faire")*AND('Synthèse PER'!F99="Communal"),'Synthèse PER'!M99,0)</f>
        <v>0</v>
      </c>
    </row>
    <row r="100" spans="1:72" s="139" customFormat="1" x14ac:dyDescent="0.25">
      <c r="A100" s="369" t="s">
        <v>904</v>
      </c>
      <c r="B100" s="502" t="str">
        <f>'ADU-95'!B$3:E$3</f>
        <v>ER Electricité</v>
      </c>
      <c r="C100" s="419">
        <f>'ADU-95'!$B$8</f>
        <v>0</v>
      </c>
      <c r="D100" s="133">
        <f>'ADU-95'!$B$9</f>
        <v>0</v>
      </c>
      <c r="E100" s="133" t="str">
        <f>'ADU-95'!$B$4</f>
        <v>Territoire</v>
      </c>
      <c r="F100" s="133">
        <f>'ADU-95'!$B$12</f>
        <v>0</v>
      </c>
      <c r="G100" s="133" t="str">
        <f>'ADU-95'!$B$6</f>
        <v>Néant</v>
      </c>
      <c r="H100" s="134">
        <f>'ADU-95'!$B$17</f>
        <v>0</v>
      </c>
      <c r="I100" s="133" t="str">
        <f>'ADU-95'!$B$7</f>
        <v>Néant</v>
      </c>
      <c r="J100" s="134">
        <f>'ADU-95'!$B$18</f>
        <v>0</v>
      </c>
      <c r="K100" s="134">
        <f>'ADU-95'!$B$21</f>
        <v>0</v>
      </c>
      <c r="L100" s="134">
        <f>'ADU-95'!$B$22</f>
        <v>0</v>
      </c>
      <c r="M100" s="135" t="e">
        <f>'ADU-95'!$B$24</f>
        <v>#DIV/0!</v>
      </c>
      <c r="N100" s="135">
        <f>'ADU-95'!$B$19/1000</f>
        <v>0</v>
      </c>
      <c r="O100" s="136"/>
      <c r="P100" s="137" t="str">
        <f>'ADU-95'!$B$5</f>
        <v>Ne pas réaliser</v>
      </c>
      <c r="Q100" s="140">
        <f>'ADU-95'!$B$16</f>
        <v>0</v>
      </c>
      <c r="R100" s="283" t="str">
        <f t="shared" si="99"/>
        <v/>
      </c>
      <c r="S100" s="138">
        <f t="shared" si="100"/>
        <v>0</v>
      </c>
      <c r="T100" s="138">
        <f t="shared" si="101"/>
        <v>0</v>
      </c>
      <c r="U100" s="138">
        <f t="shared" si="102"/>
        <v>0</v>
      </c>
      <c r="V100" s="138">
        <f t="shared" si="103"/>
        <v>0</v>
      </c>
      <c r="W100" s="138">
        <f t="shared" si="104"/>
        <v>0</v>
      </c>
      <c r="X100" s="138">
        <f t="shared" si="105"/>
        <v>0</v>
      </c>
      <c r="Y100" s="138">
        <f t="shared" si="106"/>
        <v>0</v>
      </c>
      <c r="AA100" s="287">
        <f>IF(('Synthèse PER'!P100="A faire")*AND('Synthèse PER'!F100="Agriculture"),'Synthèse PER'!H100,0)</f>
        <v>0</v>
      </c>
      <c r="AB100" s="287">
        <f>IF(('Synthèse PER'!P100="A faire")*AND('Synthèse PER'!F100="Industrie"),'Synthèse PER'!H100,0)</f>
        <v>0</v>
      </c>
      <c r="AC100" s="287">
        <f>IF(('Synthèse PER'!P100="A faire")*AND('Synthèse PER'!F100="Citoyen"),'Synthèse PER'!H100,0)</f>
        <v>0</v>
      </c>
      <c r="AD100" s="287">
        <f>IF(('Synthèse PER'!P100="A faire")*AND('Synthèse PER'!F100="IDELUX"),'Synthèse PER'!H100,0)</f>
        <v>0</v>
      </c>
      <c r="AE100" s="290">
        <f>IF(('Synthèse PER'!P100="A faire")*AND('Synthèse PER'!F100="AC MESSANCY"),'Synthèse PER'!H100,0)</f>
        <v>0</v>
      </c>
      <c r="AF100" s="287">
        <f>IF(('Synthèse PER'!P100="A faire")*AND('Synthèse PER'!F100="Tertiaire"),'Synthèse PER'!H100,0)</f>
        <v>0</v>
      </c>
      <c r="AG100" s="288"/>
      <c r="AH100" s="290">
        <f>IF(('Synthèse PER'!P100="A faire")*AND('Synthèse PER'!F100="Agriculture"),'Synthèse PER'!J100,0)</f>
        <v>0</v>
      </c>
      <c r="AI100" s="290">
        <f>IF(('Synthèse PER'!P100="A faire")*AND('Synthèse PER'!F100="Industrie"),'Synthèse PER'!J100,0)</f>
        <v>0</v>
      </c>
      <c r="AJ100" s="290">
        <f>IF(('Synthèse PER'!P100="A faire")*AND('Synthèse PER'!F100="Citoyen"),'Synthèse PER'!J100,0)</f>
        <v>0</v>
      </c>
      <c r="AK100" s="290">
        <f>IF(('Synthèse PER'!P100="A faire")*AND('Synthèse PER'!F100="IDELUX"),'Synthèse PER'!J100,0)</f>
        <v>0</v>
      </c>
      <c r="AL100" s="290">
        <f>IF(('Synthèse PER'!P100="A faire")*AND('Synthèse PER'!F100="AC MESSANCY"),'Synthèse PER'!J100,0)</f>
        <v>0</v>
      </c>
      <c r="AM100" s="290">
        <f>IF(('Synthèse PER'!P100="A faire")*AND('Synthèse PER'!F100="Tertiaire"),'Synthèse PER'!J100,0)</f>
        <v>0</v>
      </c>
      <c r="AN100" s="288"/>
      <c r="AO100" s="290">
        <f>IF(('Synthèse PER'!P100="A faire")*AND('Synthèse PER'!E100="Territoire"),'Synthèse PER'!H100,0)</f>
        <v>0</v>
      </c>
      <c r="AP100" s="290">
        <f>IF(('Synthèse PER'!P100="A faire")*AND('Synthèse PER'!E100="Agriculture"),'Synthèse PER'!H100,0)</f>
        <v>0</v>
      </c>
      <c r="AQ100" s="290">
        <f>IF(('Synthèse PER'!P100="A faire")*AND('Synthèse PER'!E100="Industrie"),'Synthèse PER'!H100,0)</f>
        <v>0</v>
      </c>
      <c r="AR100" s="290">
        <f>IF(('Synthèse PER'!P100="A faire")*AND('Synthèse PER'!E100="Logement"),'Synthèse PER'!H100,0)</f>
        <v>0</v>
      </c>
      <c r="AS100" s="290">
        <f>IF(('Synthèse PER'!P100="A faire")*AND('Synthèse PER'!E100="Tertiaire"),'Synthèse PER'!H100,0)</f>
        <v>0</v>
      </c>
      <c r="AT100" s="290">
        <f>IF(('Synthèse PER'!P100="A faire")*AND('Synthèse PER'!E100="Transport"),'Synthèse PER'!H100,0)</f>
        <v>0</v>
      </c>
      <c r="AU100" s="290">
        <f>IF(('Synthèse PER'!P100="A faire")*AND('Synthèse PER'!E100="Communal"),'Synthèse PER'!H100,0)</f>
        <v>0</v>
      </c>
      <c r="AV100" s="288"/>
      <c r="AW100" s="290">
        <f>IF(('Synthèse PER'!P100="A faire")*AND('Synthèse PER'!E100="Territoire"),'Synthèse PER'!J100,0)</f>
        <v>0</v>
      </c>
      <c r="AX100" s="290">
        <f>IF(('Synthèse PER'!P100="A faire")*AND('Synthèse PER'!E100="Agriculture"),'Synthèse PER'!J100,0)</f>
        <v>0</v>
      </c>
      <c r="AY100" s="290">
        <f>IF(('Synthèse PER'!P100="A faire")*AND('Synthèse PER'!E100="Industrie"),'Synthèse PER'!J100,0)</f>
        <v>0</v>
      </c>
      <c r="AZ100" s="290">
        <f>IF(('Synthèse PER'!P100="A faire")*AND('Synthèse PER'!E100="Logement"),'Synthèse PER'!J100,0)</f>
        <v>0</v>
      </c>
      <c r="BA100" s="290">
        <f>IF(('Synthèse PER'!P100="A faire")*AND('Synthèse PER'!E100="Tertiaire"),'Synthèse PER'!J100,0)</f>
        <v>0</v>
      </c>
      <c r="BB100" s="290">
        <f>IF(('Synthèse PER'!P100="A faire")*AND('Synthèse PER'!E100="Transport"),'Synthèse PER'!J100,0)</f>
        <v>0</v>
      </c>
      <c r="BC100" s="290">
        <f>IF(('Synthèse PER'!P100="A faire")*AND('Synthèse PER'!E100="Communal"),'Synthèse PER'!J100,0)</f>
        <v>0</v>
      </c>
      <c r="BD100" s="288"/>
      <c r="BE100" s="290">
        <f>IF(('Synthèse PER'!P100="A faire")*AND('Synthèse PER'!E100="Territoire"),'Synthèse PER'!K100,0)</f>
        <v>0</v>
      </c>
      <c r="BF100" s="290">
        <f>IF(('Synthèse PER'!P100="A faire")*AND('Synthèse PER'!E100="Agriculture"),'Synthèse PER'!K100,0)</f>
        <v>0</v>
      </c>
      <c r="BG100" s="290">
        <f>IF(('Synthèse PER'!P100="A faire")*AND('Synthèse PER'!E100="Industrie"),'Synthèse PER'!K100,0)</f>
        <v>0</v>
      </c>
      <c r="BH100" s="290">
        <f>IF(('Synthèse PER'!P100="A faire")*AND('Synthèse PER'!E100="Logement"),'Synthèse PER'!K100,0)</f>
        <v>0</v>
      </c>
      <c r="BI100" s="290">
        <f>IF(('Synthèse PER'!P100="A faire")*AND('Synthèse PER'!E100="Tertiaire"),'Synthèse PER'!K100,0)</f>
        <v>0</v>
      </c>
      <c r="BJ100" s="290">
        <f>IF(('Synthèse PER'!P100="A faire")*AND('Synthèse PER'!E100="Transport"),'Synthèse PER'!K100,0)</f>
        <v>0</v>
      </c>
      <c r="BK100" s="290">
        <f>IF(('Synthèse PER'!P100="A faire")*AND('Synthèse PER'!E100="Communal"),'Synthèse PER'!K100,0)</f>
        <v>0</v>
      </c>
      <c r="BL100" s="288"/>
      <c r="BM100" s="290">
        <f>IF(('Synthèse PER'!P100="A faire")*AND('Synthèse PER'!E100="Territoire"),'Synthèse PER'!L100,0)</f>
        <v>0</v>
      </c>
      <c r="BN100" s="290">
        <f>IF(('Synthèse PER'!P100="A faire")*AND('Synthèse PER'!E100="Agriculture"),'Synthèse PER'!L100,0)</f>
        <v>0</v>
      </c>
      <c r="BO100" s="290">
        <f>IF(('Synthèse PER'!P100="A faire")*AND('Synthèse PER'!E100="Industrie"),'Synthèse PER'!L100,0)</f>
        <v>0</v>
      </c>
      <c r="BP100" s="290">
        <f>IF(('Synthèse PER'!P100="A faire")*AND('Synthèse PER'!E100="Logement"),'Synthèse PER'!L100,0)</f>
        <v>0</v>
      </c>
      <c r="BQ100" s="290">
        <f>IF(('Synthèse PER'!P100="A faire")*AND('Synthèse PER'!E100="Tertiaire"),'Synthèse PER'!L100,0)</f>
        <v>0</v>
      </c>
      <c r="BR100" s="290">
        <f>IF(('Synthèse PER'!P100="A faire")*AND('Synthèse PER'!E100="Transport"),'Synthèse PER'!L100,0)</f>
        <v>0</v>
      </c>
      <c r="BS100" s="290">
        <f>IF(('Synthèse PER'!P100="A faire")*AND('Synthèse PER'!E100="Communal"),'Synthèse PER'!L100,0)</f>
        <v>0</v>
      </c>
      <c r="BT100" s="290">
        <f>IF(('Synthèse PER'!Q100="A faire")*AND('Synthèse PER'!F100="Communal"),'Synthèse PER'!M100,0)</f>
        <v>0</v>
      </c>
    </row>
    <row r="101" spans="1:72" s="139" customFormat="1" x14ac:dyDescent="0.25">
      <c r="A101" s="369" t="s">
        <v>792</v>
      </c>
      <c r="B101" s="414" t="str">
        <f>'ADU-100'!B$3:E$3</f>
        <v>ER Chaleur</v>
      </c>
      <c r="C101" s="419" t="str">
        <f>'ADU-100'!$B$8</f>
        <v>Solaire thermique</v>
      </c>
      <c r="D101" s="133" t="str">
        <f>'ADU-100'!$B$9</f>
        <v>Installation solaires thermiques existantes</v>
      </c>
      <c r="E101" s="133" t="str">
        <f>'ADU-100'!$B$4</f>
        <v>Logement</v>
      </c>
      <c r="F101" s="133" t="str">
        <f>'ADU-100'!$B$12</f>
        <v>Citoyen</v>
      </c>
      <c r="G101" s="133" t="str">
        <f>'ADU-100'!$B$6</f>
        <v>Fonds propres</v>
      </c>
      <c r="H101" s="134">
        <f>'ADU-100'!$B$17</f>
        <v>90000</v>
      </c>
      <c r="I101" s="133" t="str">
        <f>'ADU-100'!$B$7</f>
        <v>Primes RW</v>
      </c>
      <c r="J101" s="134">
        <f>'ADU-100'!$B$18</f>
        <v>20000</v>
      </c>
      <c r="K101" s="134">
        <f>'ADU-100'!$B$21</f>
        <v>225</v>
      </c>
      <c r="L101" s="134">
        <f>'ADU-100'!$B$22</f>
        <v>0</v>
      </c>
      <c r="M101" s="135">
        <f>'ADU-100'!$B$24</f>
        <v>311.11111111111109</v>
      </c>
      <c r="N101" s="135">
        <f>'ADU-100'!$B$19/1000</f>
        <v>52.44</v>
      </c>
      <c r="O101" s="136"/>
      <c r="P101" s="137" t="str">
        <f>'ADU-100'!$B$5</f>
        <v>Terminé</v>
      </c>
      <c r="Q101" s="140">
        <f>'ADU-100'!$B$16</f>
        <v>2014</v>
      </c>
      <c r="R101" s="283">
        <f t="shared" si="91"/>
        <v>52.44</v>
      </c>
      <c r="S101" s="138">
        <f t="shared" si="92"/>
        <v>0</v>
      </c>
      <c r="T101" s="138">
        <f t="shared" si="93"/>
        <v>0</v>
      </c>
      <c r="U101" s="138">
        <f t="shared" si="94"/>
        <v>0</v>
      </c>
      <c r="V101" s="138">
        <f t="shared" si="95"/>
        <v>52.44</v>
      </c>
      <c r="W101" s="138">
        <f t="shared" si="96"/>
        <v>0</v>
      </c>
      <c r="X101" s="138">
        <f t="shared" si="97"/>
        <v>0</v>
      </c>
      <c r="Y101" s="138">
        <f t="shared" si="98"/>
        <v>0</v>
      </c>
      <c r="AA101" s="287">
        <f>IF(('Synthèse PER'!P101="A faire")*AND('Synthèse PER'!F101="Agriculture"),'Synthèse PER'!H101,0)</f>
        <v>0</v>
      </c>
      <c r="AB101" s="287">
        <f>IF(('Synthèse PER'!P101="A faire")*AND('Synthèse PER'!F101="Industrie"),'Synthèse PER'!H101,0)</f>
        <v>0</v>
      </c>
      <c r="AC101" s="287">
        <f>IF(('Synthèse PER'!P101="A faire")*AND('Synthèse PER'!F101="Citoyen"),'Synthèse PER'!H101,0)</f>
        <v>0</v>
      </c>
      <c r="AD101" s="287">
        <f>IF(('Synthèse PER'!P101="A faire")*AND('Synthèse PER'!F101="IDELUX"),'Synthèse PER'!H101,0)</f>
        <v>0</v>
      </c>
      <c r="AE101" s="290">
        <f>IF(('Synthèse PER'!P101="A faire")*AND('Synthèse PER'!F101="AC MESSANCY"),'Synthèse PER'!H101,0)</f>
        <v>0</v>
      </c>
      <c r="AF101" s="287">
        <f>IF(('Synthèse PER'!P101="A faire")*AND('Synthèse PER'!F101="Tertiaire"),'Synthèse PER'!H101,0)</f>
        <v>0</v>
      </c>
      <c r="AG101" s="288"/>
      <c r="AH101" s="290">
        <f>IF(('Synthèse PER'!P101="A faire")*AND('Synthèse PER'!F101="Agriculture"),'Synthèse PER'!J101,0)</f>
        <v>0</v>
      </c>
      <c r="AI101" s="290">
        <f>IF(('Synthèse PER'!P101="A faire")*AND('Synthèse PER'!F101="Industrie"),'Synthèse PER'!J101,0)</f>
        <v>0</v>
      </c>
      <c r="AJ101" s="290">
        <f>IF(('Synthèse PER'!P101="A faire")*AND('Synthèse PER'!F101="Citoyen"),'Synthèse PER'!J101,0)</f>
        <v>0</v>
      </c>
      <c r="AK101" s="290">
        <f>IF(('Synthèse PER'!P101="A faire")*AND('Synthèse PER'!F101="IDELUX"),'Synthèse PER'!J101,0)</f>
        <v>0</v>
      </c>
      <c r="AL101" s="290">
        <f>IF(('Synthèse PER'!P101="A faire")*AND('Synthèse PER'!F101="AC MESSANCY"),'Synthèse PER'!J101,0)</f>
        <v>0</v>
      </c>
      <c r="AM101" s="290">
        <f>IF(('Synthèse PER'!P101="A faire")*AND('Synthèse PER'!F101="Tertiaire"),'Synthèse PER'!J101,0)</f>
        <v>0</v>
      </c>
      <c r="AN101" s="288"/>
      <c r="AO101" s="290">
        <f>IF(('Synthèse PER'!P101="A faire")*AND('Synthèse PER'!E101="Territoire"),'Synthèse PER'!H101,0)</f>
        <v>0</v>
      </c>
      <c r="AP101" s="290">
        <f>IF(('Synthèse PER'!P101="A faire")*AND('Synthèse PER'!E101="Agriculture"),'Synthèse PER'!H101,0)</f>
        <v>0</v>
      </c>
      <c r="AQ101" s="290">
        <f>IF(('Synthèse PER'!P101="A faire")*AND('Synthèse PER'!E101="Industrie"),'Synthèse PER'!H101,0)</f>
        <v>0</v>
      </c>
      <c r="AR101" s="290">
        <f>IF(('Synthèse PER'!P101="A faire")*AND('Synthèse PER'!E101="Logement"),'Synthèse PER'!H101,0)</f>
        <v>0</v>
      </c>
      <c r="AS101" s="290">
        <f>IF(('Synthèse PER'!P101="A faire")*AND('Synthèse PER'!E101="Tertiaire"),'Synthèse PER'!H101,0)</f>
        <v>0</v>
      </c>
      <c r="AT101" s="290">
        <f>IF(('Synthèse PER'!P101="A faire")*AND('Synthèse PER'!E101="Transport"),'Synthèse PER'!H101,0)</f>
        <v>0</v>
      </c>
      <c r="AU101" s="290">
        <f>IF(('Synthèse PER'!P101="A faire")*AND('Synthèse PER'!E101="Communal"),'Synthèse PER'!H101,0)</f>
        <v>0</v>
      </c>
      <c r="AV101" s="288"/>
      <c r="AW101" s="290">
        <f>IF(('Synthèse PER'!P101="A faire")*AND('Synthèse PER'!E101="Territoire"),'Synthèse PER'!J101,0)</f>
        <v>0</v>
      </c>
      <c r="AX101" s="290">
        <f>IF(('Synthèse PER'!P101="A faire")*AND('Synthèse PER'!E101="Agriculture"),'Synthèse PER'!J101,0)</f>
        <v>0</v>
      </c>
      <c r="AY101" s="290">
        <f>IF(('Synthèse PER'!P101="A faire")*AND('Synthèse PER'!E101="Industrie"),'Synthèse PER'!J101,0)</f>
        <v>0</v>
      </c>
      <c r="AZ101" s="290">
        <f>IF(('Synthèse PER'!P101="A faire")*AND('Synthèse PER'!E101="Logement"),'Synthèse PER'!J101,0)</f>
        <v>0</v>
      </c>
      <c r="BA101" s="290">
        <f>IF(('Synthèse PER'!P101="A faire")*AND('Synthèse PER'!E101="Tertiaire"),'Synthèse PER'!J101,0)</f>
        <v>0</v>
      </c>
      <c r="BB101" s="290">
        <f>IF(('Synthèse PER'!P101="A faire")*AND('Synthèse PER'!E101="Transport"),'Synthèse PER'!J101,0)</f>
        <v>0</v>
      </c>
      <c r="BC101" s="290">
        <f>IF(('Synthèse PER'!P101="A faire")*AND('Synthèse PER'!E101="Communal"),'Synthèse PER'!J101,0)</f>
        <v>0</v>
      </c>
      <c r="BD101" s="288"/>
      <c r="BE101" s="290">
        <f>IF(('Synthèse PER'!P101="A faire")*AND('Synthèse PER'!E101="Territoire"),'Synthèse PER'!K101,0)</f>
        <v>0</v>
      </c>
      <c r="BF101" s="290">
        <f>IF(('Synthèse PER'!P101="A faire")*AND('Synthèse PER'!E101="Agriculture"),'Synthèse PER'!K101,0)</f>
        <v>0</v>
      </c>
      <c r="BG101" s="290">
        <f>IF(('Synthèse PER'!P101="A faire")*AND('Synthèse PER'!E101="Industrie"),'Synthèse PER'!K101,0)</f>
        <v>0</v>
      </c>
      <c r="BH101" s="290">
        <f>IF(('Synthèse PER'!P101="A faire")*AND('Synthèse PER'!E101="Logement"),'Synthèse PER'!K101,0)</f>
        <v>0</v>
      </c>
      <c r="BI101" s="290">
        <f>IF(('Synthèse PER'!P101="A faire")*AND('Synthèse PER'!E101="Tertiaire"),'Synthèse PER'!K101,0)</f>
        <v>0</v>
      </c>
      <c r="BJ101" s="290">
        <f>IF(('Synthèse PER'!P101="A faire")*AND('Synthèse PER'!E101="Transport"),'Synthèse PER'!K101,0)</f>
        <v>0</v>
      </c>
      <c r="BK101" s="290">
        <f>IF(('Synthèse PER'!P101="A faire")*AND('Synthèse PER'!E101="Communal"),'Synthèse PER'!K101,0)</f>
        <v>0</v>
      </c>
      <c r="BL101" s="288"/>
      <c r="BM101" s="290">
        <f>IF(('Synthèse PER'!P101="A faire")*AND('Synthèse PER'!E101="Territoire"),'Synthèse PER'!L101,0)</f>
        <v>0</v>
      </c>
      <c r="BN101" s="290">
        <f>IF(('Synthèse PER'!P101="A faire")*AND('Synthèse PER'!E101="Agriculture"),'Synthèse PER'!L101,0)</f>
        <v>0</v>
      </c>
      <c r="BO101" s="290">
        <f>IF(('Synthèse PER'!P101="A faire")*AND('Synthèse PER'!E101="Industrie"),'Synthèse PER'!L101,0)</f>
        <v>0</v>
      </c>
      <c r="BP101" s="290">
        <f>IF(('Synthèse PER'!P101="A faire")*AND('Synthèse PER'!E101="Logement"),'Synthèse PER'!L101,0)</f>
        <v>0</v>
      </c>
      <c r="BQ101" s="290">
        <f>IF(('Synthèse PER'!P101="A faire")*AND('Synthèse PER'!E101="Tertiaire"),'Synthèse PER'!L101,0)</f>
        <v>0</v>
      </c>
      <c r="BR101" s="290">
        <f>IF(('Synthèse PER'!P101="A faire")*AND('Synthèse PER'!E101="Transport"),'Synthèse PER'!L101,0)</f>
        <v>0</v>
      </c>
      <c r="BS101" s="290">
        <f>IF(('Synthèse PER'!P101="A faire")*AND('Synthèse PER'!E101="Communal"),'Synthèse PER'!L101,0)</f>
        <v>0</v>
      </c>
      <c r="BT101" s="290">
        <f>IF(('Synthèse PER'!Q101="A faire")*AND('Synthèse PER'!F101="Communal"),'Synthèse PER'!M101,0)</f>
        <v>0</v>
      </c>
    </row>
    <row r="102" spans="1:72" s="139" customFormat="1" x14ac:dyDescent="0.25">
      <c r="A102" s="369" t="s">
        <v>791</v>
      </c>
      <c r="B102" s="414" t="str">
        <f>'ADU-101'!B$3:E$3</f>
        <v>ER Chaleur</v>
      </c>
      <c r="C102" s="419" t="str">
        <f>'ADU-101'!$B$8</f>
        <v>Solaire thermique</v>
      </c>
      <c r="D102" s="133" t="str">
        <f>'ADU-101'!$B$9</f>
        <v xml:space="preserve">Installation solaires thermiques </v>
      </c>
      <c r="E102" s="133" t="str">
        <f>'ADU-101'!$B$4</f>
        <v>Logement</v>
      </c>
      <c r="F102" s="133" t="str">
        <f>'ADU-101'!$B$12</f>
        <v>Citoyen</v>
      </c>
      <c r="G102" s="133" t="str">
        <f>'ADU-101'!$B$6</f>
        <v>ECOPÄCK</v>
      </c>
      <c r="H102" s="134">
        <f>'ADU-101'!$B$17</f>
        <v>720000</v>
      </c>
      <c r="I102" s="133" t="str">
        <f>'ADU-101'!$B$7</f>
        <v>Primes RW</v>
      </c>
      <c r="J102" s="134">
        <f>'ADU-101'!$B$18</f>
        <v>400000</v>
      </c>
      <c r="K102" s="134">
        <f>'ADU-101'!$B$21</f>
        <v>20160</v>
      </c>
      <c r="L102" s="134">
        <f>'ADU-101'!$B$22</f>
        <v>0</v>
      </c>
      <c r="M102" s="135">
        <f>'ADU-101'!$B$24</f>
        <v>15.873015873015873</v>
      </c>
      <c r="N102" s="135">
        <f>'ADU-101'!$B$19/1000</f>
        <v>288</v>
      </c>
      <c r="O102" s="136"/>
      <c r="P102" s="137" t="str">
        <f>'ADU-101'!$B$5</f>
        <v>A faire</v>
      </c>
      <c r="Q102" s="140">
        <f>'ADU-101'!$B$16</f>
        <v>2030</v>
      </c>
      <c r="R102" s="283" t="str">
        <f t="shared" si="91"/>
        <v/>
      </c>
      <c r="S102" s="138">
        <f t="shared" si="92"/>
        <v>0</v>
      </c>
      <c r="T102" s="138">
        <f t="shared" si="93"/>
        <v>0</v>
      </c>
      <c r="U102" s="138">
        <f t="shared" si="94"/>
        <v>0</v>
      </c>
      <c r="V102" s="138">
        <f t="shared" si="95"/>
        <v>0</v>
      </c>
      <c r="W102" s="138">
        <f t="shared" si="96"/>
        <v>0</v>
      </c>
      <c r="X102" s="138">
        <f t="shared" si="97"/>
        <v>0</v>
      </c>
      <c r="Y102" s="138">
        <f t="shared" si="98"/>
        <v>0</v>
      </c>
      <c r="AA102" s="287">
        <f>IF(('Synthèse PER'!P102="A faire")*AND('Synthèse PER'!F102="Agriculture"),'Synthèse PER'!H102,0)</f>
        <v>0</v>
      </c>
      <c r="AB102" s="287">
        <f>IF(('Synthèse PER'!P102="A faire")*AND('Synthèse PER'!F102="Industrie"),'Synthèse PER'!H102,0)</f>
        <v>0</v>
      </c>
      <c r="AC102" s="287">
        <f>IF(('Synthèse PER'!P102="A faire")*AND('Synthèse PER'!F102="Citoyen"),'Synthèse PER'!H102,0)</f>
        <v>720000</v>
      </c>
      <c r="AD102" s="287">
        <f>IF(('Synthèse PER'!P102="A faire")*AND('Synthèse PER'!F102="IDELUX"),'Synthèse PER'!H102,0)</f>
        <v>0</v>
      </c>
      <c r="AE102" s="290">
        <f>IF(('Synthèse PER'!P102="A faire")*AND('Synthèse PER'!F102="AC MESSANCY"),'Synthèse PER'!H102,0)</f>
        <v>0</v>
      </c>
      <c r="AF102" s="287">
        <f>IF(('Synthèse PER'!P102="A faire")*AND('Synthèse PER'!F102="Tertiaire"),'Synthèse PER'!H102,0)</f>
        <v>0</v>
      </c>
      <c r="AG102" s="288"/>
      <c r="AH102" s="290">
        <f>IF(('Synthèse PER'!P102="A faire")*AND('Synthèse PER'!F102="Agriculture"),'Synthèse PER'!J102,0)</f>
        <v>0</v>
      </c>
      <c r="AI102" s="290">
        <f>IF(('Synthèse PER'!P102="A faire")*AND('Synthèse PER'!F102="Industrie"),'Synthèse PER'!J102,0)</f>
        <v>0</v>
      </c>
      <c r="AJ102" s="290">
        <f>IF(('Synthèse PER'!P102="A faire")*AND('Synthèse PER'!F102="Citoyen"),'Synthèse PER'!J102,0)</f>
        <v>400000</v>
      </c>
      <c r="AK102" s="290">
        <f>IF(('Synthèse PER'!P102="A faire")*AND('Synthèse PER'!F102="IDELUX"),'Synthèse PER'!J102,0)</f>
        <v>0</v>
      </c>
      <c r="AL102" s="290">
        <f>IF(('Synthèse PER'!P102="A faire")*AND('Synthèse PER'!F102="AC MESSANCY"),'Synthèse PER'!J102,0)</f>
        <v>0</v>
      </c>
      <c r="AM102" s="290">
        <f>IF(('Synthèse PER'!P102="A faire")*AND('Synthèse PER'!F102="Tertiaire"),'Synthèse PER'!J102,0)</f>
        <v>0</v>
      </c>
      <c r="AN102" s="288"/>
      <c r="AO102" s="290">
        <f>IF(('Synthèse PER'!P102="A faire")*AND('Synthèse PER'!E102="Territoire"),'Synthèse PER'!H102,0)</f>
        <v>0</v>
      </c>
      <c r="AP102" s="290">
        <f>IF(('Synthèse PER'!P102="A faire")*AND('Synthèse PER'!E102="Agriculture"),'Synthèse PER'!H102,0)</f>
        <v>0</v>
      </c>
      <c r="AQ102" s="290">
        <f>IF(('Synthèse PER'!P102="A faire")*AND('Synthèse PER'!E102="Industrie"),'Synthèse PER'!H102,0)</f>
        <v>0</v>
      </c>
      <c r="AR102" s="290">
        <f>IF(('Synthèse PER'!P102="A faire")*AND('Synthèse PER'!E102="Logement"),'Synthèse PER'!H102,0)</f>
        <v>720000</v>
      </c>
      <c r="AS102" s="290">
        <f>IF(('Synthèse PER'!P102="A faire")*AND('Synthèse PER'!E102="Tertiaire"),'Synthèse PER'!H102,0)</f>
        <v>0</v>
      </c>
      <c r="AT102" s="290">
        <f>IF(('Synthèse PER'!P102="A faire")*AND('Synthèse PER'!E102="Transport"),'Synthèse PER'!H102,0)</f>
        <v>0</v>
      </c>
      <c r="AU102" s="290">
        <f>IF(('Synthèse PER'!P102="A faire")*AND('Synthèse PER'!E102="Communal"),'Synthèse PER'!H102,0)</f>
        <v>0</v>
      </c>
      <c r="AV102" s="288"/>
      <c r="AW102" s="290">
        <f>IF(('Synthèse PER'!P102="A faire")*AND('Synthèse PER'!E102="Territoire"),'Synthèse PER'!J102,0)</f>
        <v>0</v>
      </c>
      <c r="AX102" s="290">
        <f>IF(('Synthèse PER'!P102="A faire")*AND('Synthèse PER'!E102="Agriculture"),'Synthèse PER'!J102,0)</f>
        <v>0</v>
      </c>
      <c r="AY102" s="290">
        <f>IF(('Synthèse PER'!P102="A faire")*AND('Synthèse PER'!E102="Industrie"),'Synthèse PER'!J102,0)</f>
        <v>0</v>
      </c>
      <c r="AZ102" s="290">
        <f>IF(('Synthèse PER'!P102="A faire")*AND('Synthèse PER'!E102="Logement"),'Synthèse PER'!J102,0)</f>
        <v>400000</v>
      </c>
      <c r="BA102" s="290">
        <f>IF(('Synthèse PER'!P102="A faire")*AND('Synthèse PER'!E102="Tertiaire"),'Synthèse PER'!J102,0)</f>
        <v>0</v>
      </c>
      <c r="BB102" s="290">
        <f>IF(('Synthèse PER'!P102="A faire")*AND('Synthèse PER'!E102="Transport"),'Synthèse PER'!J102,0)</f>
        <v>0</v>
      </c>
      <c r="BC102" s="290">
        <f>IF(('Synthèse PER'!P102="A faire")*AND('Synthèse PER'!E102="Communal"),'Synthèse PER'!J102,0)</f>
        <v>0</v>
      </c>
      <c r="BD102" s="288"/>
      <c r="BE102" s="290">
        <f>IF(('Synthèse PER'!P102="A faire")*AND('Synthèse PER'!E102="Territoire"),'Synthèse PER'!K102,0)</f>
        <v>0</v>
      </c>
      <c r="BF102" s="290">
        <f>IF(('Synthèse PER'!P102="A faire")*AND('Synthèse PER'!E102="Agriculture"),'Synthèse PER'!K102,0)</f>
        <v>0</v>
      </c>
      <c r="BG102" s="290">
        <f>IF(('Synthèse PER'!P102="A faire")*AND('Synthèse PER'!E102="Industrie"),'Synthèse PER'!K102,0)</f>
        <v>0</v>
      </c>
      <c r="BH102" s="290">
        <f>IF(('Synthèse PER'!P102="A faire")*AND('Synthèse PER'!E102="Logement"),'Synthèse PER'!K102,0)</f>
        <v>20160</v>
      </c>
      <c r="BI102" s="290">
        <f>IF(('Synthèse PER'!P102="A faire")*AND('Synthèse PER'!E102="Tertiaire"),'Synthèse PER'!K102,0)</f>
        <v>0</v>
      </c>
      <c r="BJ102" s="290">
        <f>IF(('Synthèse PER'!P102="A faire")*AND('Synthèse PER'!E102="Transport"),'Synthèse PER'!K102,0)</f>
        <v>0</v>
      </c>
      <c r="BK102" s="290">
        <f>IF(('Synthèse PER'!P102="A faire")*AND('Synthèse PER'!E102="Communal"),'Synthèse PER'!K102,0)</f>
        <v>0</v>
      </c>
      <c r="BL102" s="288"/>
      <c r="BM102" s="290">
        <f>IF(('Synthèse PER'!P102="A faire")*AND('Synthèse PER'!E102="Territoire"),'Synthèse PER'!L102,0)</f>
        <v>0</v>
      </c>
      <c r="BN102" s="290">
        <f>IF(('Synthèse PER'!P102="A faire")*AND('Synthèse PER'!E102="Agriculture"),'Synthèse PER'!L102,0)</f>
        <v>0</v>
      </c>
      <c r="BO102" s="290">
        <f>IF(('Synthèse PER'!P102="A faire")*AND('Synthèse PER'!E102="Industrie"),'Synthèse PER'!L102,0)</f>
        <v>0</v>
      </c>
      <c r="BP102" s="290">
        <f>IF(('Synthèse PER'!P102="A faire")*AND('Synthèse PER'!E102="Logement"),'Synthèse PER'!L102,0)</f>
        <v>0</v>
      </c>
      <c r="BQ102" s="290">
        <f>IF(('Synthèse PER'!P102="A faire")*AND('Synthèse PER'!E102="Tertiaire"),'Synthèse PER'!L102,0)</f>
        <v>0</v>
      </c>
      <c r="BR102" s="290">
        <f>IF(('Synthèse PER'!P102="A faire")*AND('Synthèse PER'!E102="Transport"),'Synthèse PER'!L102,0)</f>
        <v>0</v>
      </c>
      <c r="BS102" s="290">
        <f>IF(('Synthèse PER'!P102="A faire")*AND('Synthèse PER'!E102="Communal"),'Synthèse PER'!L102,0)</f>
        <v>0</v>
      </c>
      <c r="BT102" s="290">
        <f>IF(('Synthèse PER'!Q102="A faire")*AND('Synthèse PER'!F102="Communal"),'Synthèse PER'!M102,0)</f>
        <v>0</v>
      </c>
    </row>
    <row r="103" spans="1:72" s="139" customFormat="1" x14ac:dyDescent="0.25">
      <c r="A103" s="369" t="s">
        <v>790</v>
      </c>
      <c r="B103" s="414" t="str">
        <f>'ADU-102'!B$3:E$3</f>
        <v>ER Chaleur</v>
      </c>
      <c r="C103" s="419" t="str">
        <f>'ADU-102'!$B$8</f>
        <v>Bâtiments communaux et privés</v>
      </c>
      <c r="D103" s="133">
        <f>'ADU-102'!$B$9</f>
        <v>0</v>
      </c>
      <c r="E103" s="133" t="str">
        <f>'ADU-102'!$B$4</f>
        <v>Territoire</v>
      </c>
      <c r="F103" s="133" t="str">
        <f>'ADU-102'!$B$12</f>
        <v>AC MESSANCY</v>
      </c>
      <c r="G103" s="133" t="str">
        <f>'ADU-102'!$B$6</f>
        <v>Néant</v>
      </c>
      <c r="H103" s="134">
        <f>'ADU-102'!$B$17</f>
        <v>0</v>
      </c>
      <c r="I103" s="133" t="str">
        <f>'ADU-102'!$B$7</f>
        <v>Néant</v>
      </c>
      <c r="J103" s="134">
        <f>'ADU-102'!$B$18</f>
        <v>0</v>
      </c>
      <c r="K103" s="134">
        <f>'ADU-102'!$B$21</f>
        <v>0</v>
      </c>
      <c r="L103" s="134">
        <f>'ADU-102'!$B$22</f>
        <v>0</v>
      </c>
      <c r="M103" s="135" t="e">
        <f>'ADU-102'!$B$24</f>
        <v>#DIV/0!</v>
      </c>
      <c r="N103" s="135">
        <f>'ADU-102'!$B$19/1000</f>
        <v>0</v>
      </c>
      <c r="O103" s="136"/>
      <c r="P103" s="137" t="str">
        <f>'ADU-102'!$B$5</f>
        <v>Ne pas réaliser</v>
      </c>
      <c r="Q103" s="140">
        <f>'ADU-102'!$B$16</f>
        <v>0</v>
      </c>
      <c r="R103" s="283" t="str">
        <f t="shared" si="91"/>
        <v/>
      </c>
      <c r="S103" s="138">
        <f t="shared" si="92"/>
        <v>0</v>
      </c>
      <c r="T103" s="138">
        <f t="shared" si="93"/>
        <v>0</v>
      </c>
      <c r="U103" s="138">
        <f t="shared" si="94"/>
        <v>0</v>
      </c>
      <c r="V103" s="138">
        <f t="shared" si="95"/>
        <v>0</v>
      </c>
      <c r="W103" s="138">
        <f t="shared" si="96"/>
        <v>0</v>
      </c>
      <c r="X103" s="138">
        <f t="shared" si="97"/>
        <v>0</v>
      </c>
      <c r="Y103" s="138">
        <f t="shared" si="98"/>
        <v>0</v>
      </c>
      <c r="AA103" s="287">
        <f>IF(('Synthèse PER'!P103="A faire")*AND('Synthèse PER'!F103="Agriculture"),'Synthèse PER'!H103,0)</f>
        <v>0</v>
      </c>
      <c r="AB103" s="287">
        <f>IF(('Synthèse PER'!P103="A faire")*AND('Synthèse PER'!F103="Industrie"),'Synthèse PER'!H103,0)</f>
        <v>0</v>
      </c>
      <c r="AC103" s="287">
        <f>IF(('Synthèse PER'!P103="A faire")*AND('Synthèse PER'!F103="Citoyen"),'Synthèse PER'!H103,0)</f>
        <v>0</v>
      </c>
      <c r="AD103" s="287">
        <f>IF(('Synthèse PER'!P103="A faire")*AND('Synthèse PER'!F103="IDELUX"),'Synthèse PER'!H103,0)</f>
        <v>0</v>
      </c>
      <c r="AE103" s="290">
        <f>IF(('Synthèse PER'!P103="A faire")*AND('Synthèse PER'!F103="AC MESSANCY"),'Synthèse PER'!H103,0)</f>
        <v>0</v>
      </c>
      <c r="AF103" s="287">
        <f>IF(('Synthèse PER'!P103="A faire")*AND('Synthèse PER'!F103="Tertiaire"),'Synthèse PER'!H103,0)</f>
        <v>0</v>
      </c>
      <c r="AG103" s="288"/>
      <c r="AH103" s="290">
        <f>IF(('Synthèse PER'!P103="A faire")*AND('Synthèse PER'!F103="Agriculture"),'Synthèse PER'!J103,0)</f>
        <v>0</v>
      </c>
      <c r="AI103" s="290">
        <f>IF(('Synthèse PER'!P103="A faire")*AND('Synthèse PER'!F103="Industrie"),'Synthèse PER'!J103,0)</f>
        <v>0</v>
      </c>
      <c r="AJ103" s="290">
        <f>IF(('Synthèse PER'!P103="A faire")*AND('Synthèse PER'!F103="Citoyen"),'Synthèse PER'!J103,0)</f>
        <v>0</v>
      </c>
      <c r="AK103" s="290">
        <f>IF(('Synthèse PER'!P103="A faire")*AND('Synthèse PER'!F103="IDELUX"),'Synthèse PER'!J103,0)</f>
        <v>0</v>
      </c>
      <c r="AL103" s="290">
        <f>IF(('Synthèse PER'!P103="A faire")*AND('Synthèse PER'!F103="AC MESSANCY"),'Synthèse PER'!J103,0)</f>
        <v>0</v>
      </c>
      <c r="AM103" s="290">
        <f>IF(('Synthèse PER'!P103="A faire")*AND('Synthèse PER'!F103="Tertiaire"),'Synthèse PER'!J103,0)</f>
        <v>0</v>
      </c>
      <c r="AN103" s="288"/>
      <c r="AO103" s="290">
        <f>IF(('Synthèse PER'!P103="A faire")*AND('Synthèse PER'!E103="Territoire"),'Synthèse PER'!H103,0)</f>
        <v>0</v>
      </c>
      <c r="AP103" s="290">
        <f>IF(('Synthèse PER'!P103="A faire")*AND('Synthèse PER'!E103="Agriculture"),'Synthèse PER'!H103,0)</f>
        <v>0</v>
      </c>
      <c r="AQ103" s="290">
        <f>IF(('Synthèse PER'!P103="A faire")*AND('Synthèse PER'!E103="Industrie"),'Synthèse PER'!H103,0)</f>
        <v>0</v>
      </c>
      <c r="AR103" s="290">
        <f>IF(('Synthèse PER'!P103="A faire")*AND('Synthèse PER'!E103="Logement"),'Synthèse PER'!H103,0)</f>
        <v>0</v>
      </c>
      <c r="AS103" s="290">
        <f>IF(('Synthèse PER'!P103="A faire")*AND('Synthèse PER'!E103="Tertiaire"),'Synthèse PER'!H103,0)</f>
        <v>0</v>
      </c>
      <c r="AT103" s="290">
        <f>IF(('Synthèse PER'!P103="A faire")*AND('Synthèse PER'!E103="Transport"),'Synthèse PER'!H103,0)</f>
        <v>0</v>
      </c>
      <c r="AU103" s="290">
        <f>IF(('Synthèse PER'!P103="A faire")*AND('Synthèse PER'!E103="Communal"),'Synthèse PER'!H103,0)</f>
        <v>0</v>
      </c>
      <c r="AV103" s="288"/>
      <c r="AW103" s="290">
        <f>IF(('Synthèse PER'!P103="A faire")*AND('Synthèse PER'!E103="Territoire"),'Synthèse PER'!J103,0)</f>
        <v>0</v>
      </c>
      <c r="AX103" s="290">
        <f>IF(('Synthèse PER'!P103="A faire")*AND('Synthèse PER'!E103="Agriculture"),'Synthèse PER'!J103,0)</f>
        <v>0</v>
      </c>
      <c r="AY103" s="290">
        <f>IF(('Synthèse PER'!P103="A faire")*AND('Synthèse PER'!E103="Industrie"),'Synthèse PER'!J103,0)</f>
        <v>0</v>
      </c>
      <c r="AZ103" s="290">
        <f>IF(('Synthèse PER'!P103="A faire")*AND('Synthèse PER'!E103="Logement"),'Synthèse PER'!J103,0)</f>
        <v>0</v>
      </c>
      <c r="BA103" s="290">
        <f>IF(('Synthèse PER'!P103="A faire")*AND('Synthèse PER'!E103="Tertiaire"),'Synthèse PER'!J103,0)</f>
        <v>0</v>
      </c>
      <c r="BB103" s="290">
        <f>IF(('Synthèse PER'!P103="A faire")*AND('Synthèse PER'!E103="Transport"),'Synthèse PER'!J103,0)</f>
        <v>0</v>
      </c>
      <c r="BC103" s="290">
        <f>IF(('Synthèse PER'!P103="A faire")*AND('Synthèse PER'!E103="Communal"),'Synthèse PER'!J103,0)</f>
        <v>0</v>
      </c>
      <c r="BD103" s="288"/>
      <c r="BE103" s="290">
        <f>IF(('Synthèse PER'!P103="A faire")*AND('Synthèse PER'!E103="Territoire"),'Synthèse PER'!K103,0)</f>
        <v>0</v>
      </c>
      <c r="BF103" s="290">
        <f>IF(('Synthèse PER'!P103="A faire")*AND('Synthèse PER'!E103="Agriculture"),'Synthèse PER'!K103,0)</f>
        <v>0</v>
      </c>
      <c r="BG103" s="290">
        <f>IF(('Synthèse PER'!P103="A faire")*AND('Synthèse PER'!E103="Industrie"),'Synthèse PER'!K103,0)</f>
        <v>0</v>
      </c>
      <c r="BH103" s="290">
        <f>IF(('Synthèse PER'!P103="A faire")*AND('Synthèse PER'!E103="Logement"),'Synthèse PER'!K103,0)</f>
        <v>0</v>
      </c>
      <c r="BI103" s="290">
        <f>IF(('Synthèse PER'!P103="A faire")*AND('Synthèse PER'!E103="Tertiaire"),'Synthèse PER'!K103,0)</f>
        <v>0</v>
      </c>
      <c r="BJ103" s="290">
        <f>IF(('Synthèse PER'!P103="A faire")*AND('Synthèse PER'!E103="Transport"),'Synthèse PER'!K103,0)</f>
        <v>0</v>
      </c>
      <c r="BK103" s="290">
        <f>IF(('Synthèse PER'!P103="A faire")*AND('Synthèse PER'!E103="Communal"),'Synthèse PER'!K103,0)</f>
        <v>0</v>
      </c>
      <c r="BL103" s="288"/>
      <c r="BM103" s="290">
        <f>IF(('Synthèse PER'!P103="A faire")*AND('Synthèse PER'!E103="Territoire"),'Synthèse PER'!L103,0)</f>
        <v>0</v>
      </c>
      <c r="BN103" s="290">
        <f>IF(('Synthèse PER'!P103="A faire")*AND('Synthèse PER'!E103="Agriculture"),'Synthèse PER'!L103,0)</f>
        <v>0</v>
      </c>
      <c r="BO103" s="290">
        <f>IF(('Synthèse PER'!P103="A faire")*AND('Synthèse PER'!E103="Industrie"),'Synthèse PER'!L103,0)</f>
        <v>0</v>
      </c>
      <c r="BP103" s="290">
        <f>IF(('Synthèse PER'!P103="A faire")*AND('Synthèse PER'!E103="Logement"),'Synthèse PER'!L103,0)</f>
        <v>0</v>
      </c>
      <c r="BQ103" s="290">
        <f>IF(('Synthèse PER'!P103="A faire")*AND('Synthèse PER'!E103="Tertiaire"),'Synthèse PER'!L103,0)</f>
        <v>0</v>
      </c>
      <c r="BR103" s="290">
        <f>IF(('Synthèse PER'!P103="A faire")*AND('Synthèse PER'!E103="Transport"),'Synthèse PER'!L103,0)</f>
        <v>0</v>
      </c>
      <c r="BS103" s="290">
        <f>IF(('Synthèse PER'!P103="A faire")*AND('Synthèse PER'!E103="Communal"),'Synthèse PER'!L103,0)</f>
        <v>0</v>
      </c>
      <c r="BT103" s="290">
        <f>IF(('Synthèse PER'!Q103="A faire")*AND('Synthèse PER'!F103="Communal"),'Synthèse PER'!M103,0)</f>
        <v>0</v>
      </c>
    </row>
    <row r="104" spans="1:72" s="139" customFormat="1" x14ac:dyDescent="0.25">
      <c r="A104" s="369" t="s">
        <v>849</v>
      </c>
      <c r="B104" s="481" t="str">
        <f>'ADU-103'!B$3:E$3</f>
        <v>ER Chaleur</v>
      </c>
      <c r="C104" s="419" t="str">
        <f>'ADU-103'!$B$8</f>
        <v>Vecteur énergétique</v>
      </c>
      <c r="D104" s="133" t="str">
        <f>'ADU-103'!$B$9</f>
        <v>Chauffage biomasse</v>
      </c>
      <c r="E104" s="133" t="str">
        <f>'ADU-103'!$B$4</f>
        <v>Industrie</v>
      </c>
      <c r="F104" s="133" t="str">
        <f>'ADU-103'!$B$12</f>
        <v>Industrie</v>
      </c>
      <c r="G104" s="133" t="str">
        <f>'ADU-103'!$B$6</f>
        <v>Néant</v>
      </c>
      <c r="H104" s="134">
        <f>'ADU-103'!$B$17</f>
        <v>0</v>
      </c>
      <c r="I104" s="133" t="str">
        <f>'ADU-103'!$B$7</f>
        <v>Néant</v>
      </c>
      <c r="J104" s="134">
        <f>'ADU-103'!$B$18</f>
        <v>0</v>
      </c>
      <c r="K104" s="134">
        <f>'ADU-103'!$B$21</f>
        <v>0</v>
      </c>
      <c r="L104" s="134">
        <f>'ADU-103'!$B$22</f>
        <v>0</v>
      </c>
      <c r="M104" s="135" t="e">
        <f>'ADU-103'!$B$24</f>
        <v>#DIV/0!</v>
      </c>
      <c r="N104" s="135">
        <f>'ADU-103'!$B$19/1000</f>
        <v>0</v>
      </c>
      <c r="O104" s="136"/>
      <c r="P104" s="137" t="str">
        <f>'ADU-103'!$B$5</f>
        <v>Ne pas réaliser</v>
      </c>
      <c r="Q104" s="140">
        <f>'ADU-103'!$B$16</f>
        <v>0</v>
      </c>
      <c r="R104" s="283" t="str">
        <f>IF(P104="terminé", N104,"")</f>
        <v/>
      </c>
      <c r="S104" s="138">
        <f t="shared" si="92"/>
        <v>0</v>
      </c>
      <c r="T104" s="138">
        <f t="shared" si="93"/>
        <v>0</v>
      </c>
      <c r="U104" s="138">
        <f t="shared" si="94"/>
        <v>0</v>
      </c>
      <c r="V104" s="138">
        <f t="shared" si="95"/>
        <v>0</v>
      </c>
      <c r="W104" s="138">
        <f t="shared" si="96"/>
        <v>0</v>
      </c>
      <c r="X104" s="138">
        <f t="shared" si="97"/>
        <v>0</v>
      </c>
      <c r="Y104" s="138">
        <f t="shared" si="98"/>
        <v>0</v>
      </c>
      <c r="AA104" s="287">
        <f>IF(('Synthèse PER'!P104="A faire")*AND('Synthèse PER'!F104="Agriculture"),'Synthèse PER'!H104,0)</f>
        <v>0</v>
      </c>
      <c r="AB104" s="287">
        <f>IF(('Synthèse PER'!P104="A faire")*AND('Synthèse PER'!F104="Industrie"),'Synthèse PER'!H104,0)</f>
        <v>0</v>
      </c>
      <c r="AC104" s="287">
        <f>IF(('Synthèse PER'!P104="A faire")*AND('Synthèse PER'!F104="Citoyen"),'Synthèse PER'!H104,0)</f>
        <v>0</v>
      </c>
      <c r="AD104" s="287">
        <f>IF(('Synthèse PER'!P104="A faire")*AND('Synthèse PER'!F104="IDELUX"),'Synthèse PER'!H104,0)</f>
        <v>0</v>
      </c>
      <c r="AE104" s="290">
        <f>IF(('Synthèse PER'!P104="A faire")*AND('Synthèse PER'!F104="AC MESSANCY"),'Synthèse PER'!H104,0)</f>
        <v>0</v>
      </c>
      <c r="AF104" s="287">
        <f>IF(('Synthèse PER'!P104="A faire")*AND('Synthèse PER'!F104="Tertiaire"),'Synthèse PER'!H104,0)</f>
        <v>0</v>
      </c>
      <c r="AG104" s="288"/>
      <c r="AH104" s="290">
        <f>IF(('Synthèse PER'!P104="A faire")*AND('Synthèse PER'!F104="Agriculture"),'Synthèse PER'!J104,0)</f>
        <v>0</v>
      </c>
      <c r="AI104" s="290">
        <f>IF(('Synthèse PER'!P104="A faire")*AND('Synthèse PER'!F104="Industrie"),'Synthèse PER'!J104,0)</f>
        <v>0</v>
      </c>
      <c r="AJ104" s="290">
        <f>IF(('Synthèse PER'!P104="A faire")*AND('Synthèse PER'!F104="Citoyen"),'Synthèse PER'!J104,0)</f>
        <v>0</v>
      </c>
      <c r="AK104" s="290">
        <f>IF(('Synthèse PER'!P104="A faire")*AND('Synthèse PER'!F104="IDELUX"),'Synthèse PER'!J104,0)</f>
        <v>0</v>
      </c>
      <c r="AL104" s="290">
        <f>IF(('Synthèse PER'!P104="A faire")*AND('Synthèse PER'!F104="AC MESSANCY"),'Synthèse PER'!J104,0)</f>
        <v>0</v>
      </c>
      <c r="AM104" s="290">
        <f>IF(('Synthèse PER'!P104="A faire")*AND('Synthèse PER'!F104="Tertiaire"),'Synthèse PER'!J104,0)</f>
        <v>0</v>
      </c>
      <c r="AN104" s="288"/>
      <c r="AO104" s="290">
        <f>IF(('Synthèse PER'!P104="A faire")*AND('Synthèse PER'!E104="Territoire"),'Synthèse PER'!H104,0)</f>
        <v>0</v>
      </c>
      <c r="AP104" s="290">
        <f>IF(('Synthèse PER'!P104="A faire")*AND('Synthèse PER'!E104="Agriculture"),'Synthèse PER'!H104,0)</f>
        <v>0</v>
      </c>
      <c r="AQ104" s="290">
        <f>IF(('Synthèse PER'!P104="A faire")*AND('Synthèse PER'!E104="Industrie"),'Synthèse PER'!H104,0)</f>
        <v>0</v>
      </c>
      <c r="AR104" s="290">
        <f>IF(('Synthèse PER'!P104="A faire")*AND('Synthèse PER'!E104="Logement"),'Synthèse PER'!H104,0)</f>
        <v>0</v>
      </c>
      <c r="AS104" s="290">
        <f>IF(('Synthèse PER'!P104="A faire")*AND('Synthèse PER'!E104="Tertiaire"),'Synthèse PER'!H104,0)</f>
        <v>0</v>
      </c>
      <c r="AT104" s="290">
        <f>IF(('Synthèse PER'!P104="A faire")*AND('Synthèse PER'!E104="Transport"),'Synthèse PER'!H104,0)</f>
        <v>0</v>
      </c>
      <c r="AU104" s="290">
        <f>IF(('Synthèse PER'!P104="A faire")*AND('Synthèse PER'!E104="Communal"),'Synthèse PER'!H104,0)</f>
        <v>0</v>
      </c>
      <c r="AV104" s="288"/>
      <c r="AW104" s="290">
        <f>IF(('Synthèse PER'!P104="A faire")*AND('Synthèse PER'!E104="Territoire"),'Synthèse PER'!J104,0)</f>
        <v>0</v>
      </c>
      <c r="AX104" s="290">
        <f>IF(('Synthèse PER'!P104="A faire")*AND('Synthèse PER'!E104="Agriculture"),'Synthèse PER'!J104,0)</f>
        <v>0</v>
      </c>
      <c r="AY104" s="290">
        <f>IF(('Synthèse PER'!P104="A faire")*AND('Synthèse PER'!E104="Industrie"),'Synthèse PER'!J104,0)</f>
        <v>0</v>
      </c>
      <c r="AZ104" s="290">
        <f>IF(('Synthèse PER'!P104="A faire")*AND('Synthèse PER'!E104="Logement"),'Synthèse PER'!J104,0)</f>
        <v>0</v>
      </c>
      <c r="BA104" s="290">
        <f>IF(('Synthèse PER'!P104="A faire")*AND('Synthèse PER'!E104="Tertiaire"),'Synthèse PER'!J104,0)</f>
        <v>0</v>
      </c>
      <c r="BB104" s="290">
        <f>IF(('Synthèse PER'!P104="A faire")*AND('Synthèse PER'!E104="Transport"),'Synthèse PER'!J104,0)</f>
        <v>0</v>
      </c>
      <c r="BC104" s="290">
        <f>IF(('Synthèse PER'!P104="A faire")*AND('Synthèse PER'!E104="Communal"),'Synthèse PER'!J104,0)</f>
        <v>0</v>
      </c>
      <c r="BD104" s="288"/>
      <c r="BE104" s="290">
        <f>IF(('Synthèse PER'!P104="A faire")*AND('Synthèse PER'!E104="Territoire"),'Synthèse PER'!K104,0)</f>
        <v>0</v>
      </c>
      <c r="BF104" s="290">
        <f>IF(('Synthèse PER'!P104="A faire")*AND('Synthèse PER'!E104="Agriculture"),'Synthèse PER'!K104,0)</f>
        <v>0</v>
      </c>
      <c r="BG104" s="290">
        <f>IF(('Synthèse PER'!P104="A faire")*AND('Synthèse PER'!E104="Industrie"),'Synthèse PER'!K104,0)</f>
        <v>0</v>
      </c>
      <c r="BH104" s="290">
        <f>IF(('Synthèse PER'!P104="A faire")*AND('Synthèse PER'!E104="Logement"),'Synthèse PER'!K104,0)</f>
        <v>0</v>
      </c>
      <c r="BI104" s="290">
        <f>IF(('Synthèse PER'!P104="A faire")*AND('Synthèse PER'!E104="Tertiaire"),'Synthèse PER'!K104,0)</f>
        <v>0</v>
      </c>
      <c r="BJ104" s="290">
        <f>IF(('Synthèse PER'!P104="A faire")*AND('Synthèse PER'!E104="Transport"),'Synthèse PER'!K104,0)</f>
        <v>0</v>
      </c>
      <c r="BK104" s="290">
        <f>IF(('Synthèse PER'!P104="A faire")*AND('Synthèse PER'!E104="Communal"),'Synthèse PER'!K104,0)</f>
        <v>0</v>
      </c>
      <c r="BL104" s="288"/>
      <c r="BM104" s="290">
        <f>IF(('Synthèse PER'!P104="A faire")*AND('Synthèse PER'!E104="Territoire"),'Synthèse PER'!L104,0)</f>
        <v>0</v>
      </c>
      <c r="BN104" s="290">
        <f>IF(('Synthèse PER'!P104="A faire")*AND('Synthèse PER'!E104="Agriculture"),'Synthèse PER'!L104,0)</f>
        <v>0</v>
      </c>
      <c r="BO104" s="290">
        <f>IF(('Synthèse PER'!P104="A faire")*AND('Synthèse PER'!E104="Industrie"),'Synthèse PER'!L104,0)</f>
        <v>0</v>
      </c>
      <c r="BP104" s="290">
        <f>IF(('Synthèse PER'!P104="A faire")*AND('Synthèse PER'!E104="Logement"),'Synthèse PER'!L104,0)</f>
        <v>0</v>
      </c>
      <c r="BQ104" s="290">
        <f>IF(('Synthèse PER'!P104="A faire")*AND('Synthèse PER'!E104="Tertiaire"),'Synthèse PER'!L104,0)</f>
        <v>0</v>
      </c>
      <c r="BR104" s="290">
        <f>IF(('Synthèse PER'!P104="A faire")*AND('Synthèse PER'!E104="Transport"),'Synthèse PER'!L104,0)</f>
        <v>0</v>
      </c>
      <c r="BS104" s="290">
        <f>IF(('Synthèse PER'!P104="A faire")*AND('Synthèse PER'!E104="Communal"),'Synthèse PER'!L104,0)</f>
        <v>0</v>
      </c>
      <c r="BT104" s="290">
        <f>IF(('Synthèse PER'!Q104="A faire")*AND('Synthèse PER'!F104="Communal"),'Synthèse PER'!M104,0)</f>
        <v>0</v>
      </c>
    </row>
    <row r="105" spans="1:72" s="139" customFormat="1" x14ac:dyDescent="0.25">
      <c r="A105" s="369" t="s">
        <v>789</v>
      </c>
      <c r="B105" s="414" t="str">
        <f>'ADU-121'!B$3:E$3</f>
        <v>Agroforesterie/déchets</v>
      </c>
      <c r="C105" s="419" t="str">
        <f>'ADU-121'!$B$8</f>
        <v>Réseau de haies</v>
      </c>
      <c r="D105" s="133" t="str">
        <f>'ADU-121'!$B$9</f>
        <v>Réintroduction de haies vives</v>
      </c>
      <c r="E105" s="133" t="str">
        <f>'ADU-121'!$B$4</f>
        <v>Communal</v>
      </c>
      <c r="F105" s="133" t="str">
        <f>'ADU-121'!$B$12</f>
        <v>AC MESSANCY</v>
      </c>
      <c r="G105" s="133" t="str">
        <f>'ADU-121'!$B$6</f>
        <v>Fonds propres</v>
      </c>
      <c r="H105" s="134">
        <f>'ADU-121'!$B$17</f>
        <v>120000</v>
      </c>
      <c r="I105" s="133" t="str">
        <f>'ADU-121'!$B$7</f>
        <v>Subs RW</v>
      </c>
      <c r="J105" s="134">
        <f>'ADU-121'!$B$18</f>
        <v>84000</v>
      </c>
      <c r="K105" s="134">
        <f>'ADU-121'!$B$21</f>
        <v>1</v>
      </c>
      <c r="L105" s="134">
        <f>'ADU-121'!$B$22</f>
        <v>0</v>
      </c>
      <c r="M105" s="135">
        <f>'ADU-121'!$B$24</f>
        <v>36000</v>
      </c>
      <c r="N105" s="135">
        <f>'ADU-121'!$B$19/1000</f>
        <v>0</v>
      </c>
      <c r="O105" s="136">
        <f>IF(H105=0,0,N105/(H105-J105)*1000)</f>
        <v>0</v>
      </c>
      <c r="P105" s="137" t="str">
        <f>'ADU-121'!$B$5</f>
        <v>Terminé</v>
      </c>
      <c r="Q105" s="140">
        <f>'ADU-121'!$B$16</f>
        <v>2030</v>
      </c>
      <c r="R105" s="283">
        <f t="shared" ref="R105:R110" si="107">IF(P105="terminé", N105,"")</f>
        <v>0</v>
      </c>
      <c r="S105" s="138">
        <f t="shared" si="92"/>
        <v>0</v>
      </c>
      <c r="T105" s="138">
        <f t="shared" si="93"/>
        <v>0</v>
      </c>
      <c r="U105" s="138">
        <f t="shared" si="94"/>
        <v>0</v>
      </c>
      <c r="V105" s="138">
        <f t="shared" si="95"/>
        <v>0</v>
      </c>
      <c r="W105" s="138">
        <f t="shared" si="96"/>
        <v>0</v>
      </c>
      <c r="X105" s="138">
        <f t="shared" si="97"/>
        <v>0</v>
      </c>
      <c r="Y105" s="138">
        <f t="shared" si="98"/>
        <v>0</v>
      </c>
      <c r="AA105" s="287">
        <f>IF(('Synthèse PER'!P105="A faire")*AND('Synthèse PER'!F105="Agriculture"),'Synthèse PER'!H105,0)</f>
        <v>0</v>
      </c>
      <c r="AB105" s="287">
        <f>IF(('Synthèse PER'!P105="A faire")*AND('Synthèse PER'!F105="Industrie"),'Synthèse PER'!H105,0)</f>
        <v>0</v>
      </c>
      <c r="AC105" s="287">
        <f>IF(('Synthèse PER'!P105="A faire")*AND('Synthèse PER'!F105="Citoyen"),'Synthèse PER'!H105,0)</f>
        <v>0</v>
      </c>
      <c r="AD105" s="287">
        <f>IF(('Synthèse PER'!P105="A faire")*AND('Synthèse PER'!F105="IDELUX"),'Synthèse PER'!H105,0)</f>
        <v>0</v>
      </c>
      <c r="AE105" s="290">
        <f>IF(('Synthèse PER'!P105="A faire")*AND('Synthèse PER'!F105="AC MESSANCY"),'Synthèse PER'!H105,0)</f>
        <v>0</v>
      </c>
      <c r="AF105" s="287">
        <f>IF(('Synthèse PER'!P105="A faire")*AND('Synthèse PER'!F105="Tertiaire"),'Synthèse PER'!H105,0)</f>
        <v>0</v>
      </c>
      <c r="AG105" s="288"/>
      <c r="AH105" s="290">
        <f>IF(('Synthèse PER'!P105="A faire")*AND('Synthèse PER'!F105="Agriculture"),'Synthèse PER'!J105,0)</f>
        <v>0</v>
      </c>
      <c r="AI105" s="290">
        <f>IF(('Synthèse PER'!P105="A faire")*AND('Synthèse PER'!F105="Industrie"),'Synthèse PER'!J105,0)</f>
        <v>0</v>
      </c>
      <c r="AJ105" s="290">
        <f>IF(('Synthèse PER'!P105="A faire")*AND('Synthèse PER'!F105="Citoyen"),'Synthèse PER'!J105,0)</f>
        <v>0</v>
      </c>
      <c r="AK105" s="290">
        <f>IF(('Synthèse PER'!P105="A faire")*AND('Synthèse PER'!F105="IDELUX"),'Synthèse PER'!J105,0)</f>
        <v>0</v>
      </c>
      <c r="AL105" s="290">
        <f>IF(('Synthèse PER'!P105="A faire")*AND('Synthèse PER'!F105="AC MESSANCY"),'Synthèse PER'!J105,0)</f>
        <v>0</v>
      </c>
      <c r="AM105" s="290">
        <f>IF(('Synthèse PER'!P105="A faire")*AND('Synthèse PER'!F105="Tertiaire"),'Synthèse PER'!J105,0)</f>
        <v>0</v>
      </c>
      <c r="AN105" s="288"/>
      <c r="AO105" s="290">
        <f>IF(('Synthèse PER'!P105="A faire")*AND('Synthèse PER'!E105="Territoire"),'Synthèse PER'!H105,0)</f>
        <v>0</v>
      </c>
      <c r="AP105" s="290">
        <f>IF(('Synthèse PER'!P105="A faire")*AND('Synthèse PER'!E105="Agriculture"),'Synthèse PER'!H105,0)</f>
        <v>0</v>
      </c>
      <c r="AQ105" s="290">
        <f>IF(('Synthèse PER'!P105="A faire")*AND('Synthèse PER'!E105="Industrie"),'Synthèse PER'!H105,0)</f>
        <v>0</v>
      </c>
      <c r="AR105" s="290">
        <f>IF(('Synthèse PER'!P105="A faire")*AND('Synthèse PER'!E105="Logement"),'Synthèse PER'!H105,0)</f>
        <v>0</v>
      </c>
      <c r="AS105" s="290">
        <f>IF(('Synthèse PER'!P105="A faire")*AND('Synthèse PER'!E105="Tertiaire"),'Synthèse PER'!H105,0)</f>
        <v>0</v>
      </c>
      <c r="AT105" s="290">
        <f>IF(('Synthèse PER'!P105="A faire")*AND('Synthèse PER'!E105="Transport"),'Synthèse PER'!H105,0)</f>
        <v>0</v>
      </c>
      <c r="AU105" s="290">
        <f>IF(('Synthèse PER'!P105="A faire")*AND('Synthèse PER'!E105="Communal"),'Synthèse PER'!H105,0)</f>
        <v>0</v>
      </c>
      <c r="AV105" s="288"/>
      <c r="AW105" s="290">
        <f>IF(('Synthèse PER'!P105="A faire")*AND('Synthèse PER'!E105="Territoire"),'Synthèse PER'!J105,0)</f>
        <v>0</v>
      </c>
      <c r="AX105" s="290">
        <f>IF(('Synthèse PER'!P105="A faire")*AND('Synthèse PER'!E105="Agriculture"),'Synthèse PER'!J105,0)</f>
        <v>0</v>
      </c>
      <c r="AY105" s="290">
        <f>IF(('Synthèse PER'!P105="A faire")*AND('Synthèse PER'!E105="Industrie"),'Synthèse PER'!J105,0)</f>
        <v>0</v>
      </c>
      <c r="AZ105" s="290">
        <f>IF(('Synthèse PER'!P105="A faire")*AND('Synthèse PER'!E105="Logement"),'Synthèse PER'!J105,0)</f>
        <v>0</v>
      </c>
      <c r="BA105" s="290">
        <f>IF(('Synthèse PER'!P105="A faire")*AND('Synthèse PER'!E105="Tertiaire"),'Synthèse PER'!J105,0)</f>
        <v>0</v>
      </c>
      <c r="BB105" s="290">
        <f>IF(('Synthèse PER'!P105="A faire")*AND('Synthèse PER'!E105="Transport"),'Synthèse PER'!J105,0)</f>
        <v>0</v>
      </c>
      <c r="BC105" s="290">
        <f>IF(('Synthèse PER'!P105="A faire")*AND('Synthèse PER'!E105="Communal"),'Synthèse PER'!J105,0)</f>
        <v>0</v>
      </c>
      <c r="BD105" s="288"/>
      <c r="BE105" s="290">
        <f>IF(('Synthèse PER'!P105="A faire")*AND('Synthèse PER'!E105="Territoire"),'Synthèse PER'!K105,0)</f>
        <v>0</v>
      </c>
      <c r="BF105" s="290">
        <f>IF(('Synthèse PER'!P105="A faire")*AND('Synthèse PER'!E105="Agriculture"),'Synthèse PER'!K105,0)</f>
        <v>0</v>
      </c>
      <c r="BG105" s="290">
        <f>IF(('Synthèse PER'!P105="A faire")*AND('Synthèse PER'!E105="Industrie"),'Synthèse PER'!K105,0)</f>
        <v>0</v>
      </c>
      <c r="BH105" s="290">
        <f>IF(('Synthèse PER'!P105="A faire")*AND('Synthèse PER'!E105="Logement"),'Synthèse PER'!K105,0)</f>
        <v>0</v>
      </c>
      <c r="BI105" s="290">
        <f>IF(('Synthèse PER'!P105="A faire")*AND('Synthèse PER'!E105="Tertiaire"),'Synthèse PER'!K105,0)</f>
        <v>0</v>
      </c>
      <c r="BJ105" s="290">
        <f>IF(('Synthèse PER'!P105="A faire")*AND('Synthèse PER'!E105="Transport"),'Synthèse PER'!K105,0)</f>
        <v>0</v>
      </c>
      <c r="BK105" s="290">
        <f>IF(('Synthèse PER'!P105="A faire")*AND('Synthèse PER'!E105="Communal"),'Synthèse PER'!K105,0)</f>
        <v>0</v>
      </c>
      <c r="BL105" s="288"/>
      <c r="BM105" s="290">
        <f>IF(('Synthèse PER'!P105="A faire")*AND('Synthèse PER'!E105="Territoire"),'Synthèse PER'!L105,0)</f>
        <v>0</v>
      </c>
      <c r="BN105" s="290">
        <f>IF(('Synthèse PER'!P105="A faire")*AND('Synthèse PER'!E105="Agriculture"),'Synthèse PER'!L105,0)</f>
        <v>0</v>
      </c>
      <c r="BO105" s="290">
        <f>IF(('Synthèse PER'!P105="A faire")*AND('Synthèse PER'!E105="Industrie"),'Synthèse PER'!L105,0)</f>
        <v>0</v>
      </c>
      <c r="BP105" s="290">
        <f>IF(('Synthèse PER'!P105="A faire")*AND('Synthèse PER'!E105="Logement"),'Synthèse PER'!L105,0)</f>
        <v>0</v>
      </c>
      <c r="BQ105" s="290">
        <f>IF(('Synthèse PER'!P105="A faire")*AND('Synthèse PER'!E105="Tertiaire"),'Synthèse PER'!L105,0)</f>
        <v>0</v>
      </c>
      <c r="BR105" s="290">
        <f>IF(('Synthèse PER'!P105="A faire")*AND('Synthèse PER'!E105="Transport"),'Synthèse PER'!L105,0)</f>
        <v>0</v>
      </c>
      <c r="BS105" s="290">
        <f>IF(('Synthèse PER'!P105="A faire")*AND('Synthèse PER'!E105="Communal"),'Synthèse PER'!L105,0)</f>
        <v>0</v>
      </c>
      <c r="BT105" s="290">
        <f>IF(('Synthèse PER'!Q105="A faire")*AND('Synthèse PER'!F105="Communal"),'Synthèse PER'!M105,0)</f>
        <v>0</v>
      </c>
    </row>
    <row r="106" spans="1:72" s="139" customFormat="1" x14ac:dyDescent="0.25">
      <c r="A106" s="369" t="s">
        <v>788</v>
      </c>
      <c r="B106" s="414" t="str">
        <f>'ADU-122'!B$3:E$3</f>
        <v>Agroforesterie/déchets</v>
      </c>
      <c r="C106" s="419" t="str">
        <f>'ADU-122'!$B$8</f>
        <v>Séquestration de CO2 par reboisement</v>
      </c>
      <c r="D106" s="133" t="str">
        <f>'ADU-122'!$B$9</f>
        <v>Reboisement d'aires non valorisées</v>
      </c>
      <c r="E106" s="133" t="str">
        <f>'ADU-122'!$B$4</f>
        <v>Territoire</v>
      </c>
      <c r="F106" s="133" t="str">
        <f>'ADU-122'!$B$12</f>
        <v>AC MESSANCY</v>
      </c>
      <c r="G106" s="133" t="str">
        <f>'ADU-122'!$B$6</f>
        <v>Fonds propres</v>
      </c>
      <c r="H106" s="134">
        <f>'ADU-122'!$B$17</f>
        <v>10000</v>
      </c>
      <c r="I106" s="133" t="str">
        <f>'ADU-122'!$B$7</f>
        <v>Subs RW</v>
      </c>
      <c r="J106" s="134">
        <f>'ADU-122'!$B$18</f>
        <v>7000</v>
      </c>
      <c r="K106" s="134">
        <f>'ADU-122'!$B$21</f>
        <v>1</v>
      </c>
      <c r="L106" s="134">
        <f>'ADU-122'!$B$22</f>
        <v>0</v>
      </c>
      <c r="M106" s="135">
        <f>'ADU-122'!$B$24</f>
        <v>3000</v>
      </c>
      <c r="N106" s="135">
        <f>'ADU-122'!$B$19/1000</f>
        <v>0</v>
      </c>
      <c r="O106" s="136">
        <f>IF(H106=0,0,N106/(H106-J106)*1000)</f>
        <v>0</v>
      </c>
      <c r="P106" s="137" t="str">
        <f>'ADU-122'!$B$5</f>
        <v>A investiguer</v>
      </c>
      <c r="Q106" s="140">
        <f>'ADU-122'!$B$16</f>
        <v>2030</v>
      </c>
      <c r="R106" s="284" t="str">
        <f t="shared" si="107"/>
        <v/>
      </c>
      <c r="S106" s="138">
        <f t="shared" si="92"/>
        <v>0</v>
      </c>
      <c r="T106" s="138">
        <f t="shared" si="93"/>
        <v>0</v>
      </c>
      <c r="U106" s="138">
        <f t="shared" si="94"/>
        <v>0</v>
      </c>
      <c r="V106" s="138">
        <f t="shared" si="95"/>
        <v>0</v>
      </c>
      <c r="W106" s="138">
        <f t="shared" si="96"/>
        <v>0</v>
      </c>
      <c r="X106" s="138">
        <f t="shared" si="97"/>
        <v>0</v>
      </c>
      <c r="Y106" s="138">
        <f t="shared" si="98"/>
        <v>0</v>
      </c>
      <c r="AA106" s="287">
        <f>IF(('Synthèse PER'!P106="A faire")*AND('Synthèse PER'!F106="Agriculture"),'Synthèse PER'!H106,0)</f>
        <v>0</v>
      </c>
      <c r="AB106" s="287">
        <f>IF(('Synthèse PER'!P106="A faire")*AND('Synthèse PER'!F106="Industrie"),'Synthèse PER'!H106,0)</f>
        <v>0</v>
      </c>
      <c r="AC106" s="287">
        <f>IF(('Synthèse PER'!P106="A faire")*AND('Synthèse PER'!F106="Citoyen"),'Synthèse PER'!H106,0)</f>
        <v>0</v>
      </c>
      <c r="AD106" s="287">
        <f>IF(('Synthèse PER'!P106="A faire")*AND('Synthèse PER'!F106="IDELUX"),'Synthèse PER'!H106,0)</f>
        <v>0</v>
      </c>
      <c r="AE106" s="290">
        <f>IF(('Synthèse PER'!P106="A faire")*AND('Synthèse PER'!F106="AC MESSANCY"),'Synthèse PER'!H106,0)</f>
        <v>0</v>
      </c>
      <c r="AF106" s="287">
        <f>IF(('Synthèse PER'!P106="A faire")*AND('Synthèse PER'!F106="Tertiaire"),'Synthèse PER'!H106,0)</f>
        <v>0</v>
      </c>
      <c r="AG106" s="288"/>
      <c r="AH106" s="290">
        <f>IF(('Synthèse PER'!P106="A faire")*AND('Synthèse PER'!F106="Agriculture"),'Synthèse PER'!J106,0)</f>
        <v>0</v>
      </c>
      <c r="AI106" s="290">
        <f>IF(('Synthèse PER'!P106="A faire")*AND('Synthèse PER'!F106="Industrie"),'Synthèse PER'!J106,0)</f>
        <v>0</v>
      </c>
      <c r="AJ106" s="290">
        <f>IF(('Synthèse PER'!P106="A faire")*AND('Synthèse PER'!F106="Citoyen"),'Synthèse PER'!J106,0)</f>
        <v>0</v>
      </c>
      <c r="AK106" s="290">
        <f>IF(('Synthèse PER'!P106="A faire")*AND('Synthèse PER'!F106="IDELUX"),'Synthèse PER'!J106,0)</f>
        <v>0</v>
      </c>
      <c r="AL106" s="290">
        <f>IF(('Synthèse PER'!P106="A faire")*AND('Synthèse PER'!F106="AC MESSANCY"),'Synthèse PER'!J106,0)</f>
        <v>0</v>
      </c>
      <c r="AM106" s="290">
        <f>IF(('Synthèse PER'!P106="A faire")*AND('Synthèse PER'!F106="Tertiaire"),'Synthèse PER'!J106,0)</f>
        <v>0</v>
      </c>
      <c r="AN106" s="288"/>
      <c r="AO106" s="290">
        <f>IF(('Synthèse PER'!P106="A faire")*AND('Synthèse PER'!E106="Territoire"),'Synthèse PER'!H106,0)</f>
        <v>0</v>
      </c>
      <c r="AP106" s="290">
        <f>IF(('Synthèse PER'!P106="A faire")*AND('Synthèse PER'!E106="Agriculture"),'Synthèse PER'!H106,0)</f>
        <v>0</v>
      </c>
      <c r="AQ106" s="290">
        <f>IF(('Synthèse PER'!P106="A faire")*AND('Synthèse PER'!E106="Industrie"),'Synthèse PER'!H106,0)</f>
        <v>0</v>
      </c>
      <c r="AR106" s="290">
        <f>IF(('Synthèse PER'!P106="A faire")*AND('Synthèse PER'!E106="Logement"),'Synthèse PER'!H106,0)</f>
        <v>0</v>
      </c>
      <c r="AS106" s="290">
        <f>IF(('Synthèse PER'!P106="A faire")*AND('Synthèse PER'!E106="Tertiaire"),'Synthèse PER'!H106,0)</f>
        <v>0</v>
      </c>
      <c r="AT106" s="290">
        <f>IF(('Synthèse PER'!P106="A faire")*AND('Synthèse PER'!E106="Transport"),'Synthèse PER'!H106,0)</f>
        <v>0</v>
      </c>
      <c r="AU106" s="290">
        <f>IF(('Synthèse PER'!P106="A faire")*AND('Synthèse PER'!E106="Communal"),'Synthèse PER'!H106,0)</f>
        <v>0</v>
      </c>
      <c r="AV106" s="288"/>
      <c r="AW106" s="290">
        <f>IF(('Synthèse PER'!P106="A faire")*AND('Synthèse PER'!E106="Territoire"),'Synthèse PER'!J106,0)</f>
        <v>0</v>
      </c>
      <c r="AX106" s="290">
        <f>IF(('Synthèse PER'!P106="A faire")*AND('Synthèse PER'!E106="Agriculture"),'Synthèse PER'!J106,0)</f>
        <v>0</v>
      </c>
      <c r="AY106" s="290">
        <f>IF(('Synthèse PER'!P106="A faire")*AND('Synthèse PER'!E106="Industrie"),'Synthèse PER'!J106,0)</f>
        <v>0</v>
      </c>
      <c r="AZ106" s="290">
        <f>IF(('Synthèse PER'!P106="A faire")*AND('Synthèse PER'!E106="Logement"),'Synthèse PER'!J106,0)</f>
        <v>0</v>
      </c>
      <c r="BA106" s="290">
        <f>IF(('Synthèse PER'!P106="A faire")*AND('Synthèse PER'!E106="Tertiaire"),'Synthèse PER'!J106,0)</f>
        <v>0</v>
      </c>
      <c r="BB106" s="290">
        <f>IF(('Synthèse PER'!P106="A faire")*AND('Synthèse PER'!E106="Transport"),'Synthèse PER'!J106,0)</f>
        <v>0</v>
      </c>
      <c r="BC106" s="290">
        <f>IF(('Synthèse PER'!P106="A faire")*AND('Synthèse PER'!E106="Communal"),'Synthèse PER'!J106,0)</f>
        <v>0</v>
      </c>
      <c r="BD106" s="288"/>
      <c r="BE106" s="290">
        <f>IF(('Synthèse PER'!P106="A faire")*AND('Synthèse PER'!E106="Territoire"),'Synthèse PER'!K106,0)</f>
        <v>0</v>
      </c>
      <c r="BF106" s="290">
        <f>IF(('Synthèse PER'!P106="A faire")*AND('Synthèse PER'!E106="Agriculture"),'Synthèse PER'!K106,0)</f>
        <v>0</v>
      </c>
      <c r="BG106" s="290">
        <f>IF(('Synthèse PER'!P106="A faire")*AND('Synthèse PER'!E106="Industrie"),'Synthèse PER'!K106,0)</f>
        <v>0</v>
      </c>
      <c r="BH106" s="290">
        <f>IF(('Synthèse PER'!P106="A faire")*AND('Synthèse PER'!E106="Logement"),'Synthèse PER'!K106,0)</f>
        <v>0</v>
      </c>
      <c r="BI106" s="290">
        <f>IF(('Synthèse PER'!P106="A faire")*AND('Synthèse PER'!E106="Tertiaire"),'Synthèse PER'!K106,0)</f>
        <v>0</v>
      </c>
      <c r="BJ106" s="290">
        <f>IF(('Synthèse PER'!P106="A faire")*AND('Synthèse PER'!E106="Transport"),'Synthèse PER'!K106,0)</f>
        <v>0</v>
      </c>
      <c r="BK106" s="290">
        <f>IF(('Synthèse PER'!P106="A faire")*AND('Synthèse PER'!E106="Communal"),'Synthèse PER'!K106,0)</f>
        <v>0</v>
      </c>
      <c r="BL106" s="288"/>
      <c r="BM106" s="290">
        <f>IF(('Synthèse PER'!P106="A faire")*AND('Synthèse PER'!E106="Territoire"),'Synthèse PER'!L106,0)</f>
        <v>0</v>
      </c>
      <c r="BN106" s="290">
        <f>IF(('Synthèse PER'!P106="A faire")*AND('Synthèse PER'!E106="Agriculture"),'Synthèse PER'!L106,0)</f>
        <v>0</v>
      </c>
      <c r="BO106" s="290">
        <f>IF(('Synthèse PER'!P106="A faire")*AND('Synthèse PER'!E106="Industrie"),'Synthèse PER'!L106,0)</f>
        <v>0</v>
      </c>
      <c r="BP106" s="290">
        <f>IF(('Synthèse PER'!P106="A faire")*AND('Synthèse PER'!E106="Logement"),'Synthèse PER'!L106,0)</f>
        <v>0</v>
      </c>
      <c r="BQ106" s="290">
        <f>IF(('Synthèse PER'!P106="A faire")*AND('Synthèse PER'!E106="Tertiaire"),'Synthèse PER'!L106,0)</f>
        <v>0</v>
      </c>
      <c r="BR106" s="290">
        <f>IF(('Synthèse PER'!P106="A faire")*AND('Synthèse PER'!E106="Transport"),'Synthèse PER'!L106,0)</f>
        <v>0</v>
      </c>
      <c r="BS106" s="290">
        <f>IF(('Synthèse PER'!P106="A faire")*AND('Synthèse PER'!E106="Communal"),'Synthèse PER'!L106,0)</f>
        <v>0</v>
      </c>
      <c r="BT106" s="290">
        <f>IF(('Synthèse PER'!Q106="A faire")*AND('Synthèse PER'!F106="Communal"),'Synthèse PER'!M106,0)</f>
        <v>0</v>
      </c>
    </row>
    <row r="107" spans="1:72" s="139" customFormat="1" x14ac:dyDescent="0.25">
      <c r="A107" s="369" t="s">
        <v>787</v>
      </c>
      <c r="B107" s="414" t="str">
        <f>'ADU-123'!B$3:E$3</f>
        <v>Agroforesterie/déchets</v>
      </c>
      <c r="C107" s="419" t="str">
        <f>'ADU-123'!$B$8</f>
        <v>Production de combustible biomasse</v>
      </c>
      <c r="D107" s="133" t="str">
        <f>'ADU-123'!$B$9</f>
        <v>Culture de miscanthus</v>
      </c>
      <c r="E107" s="133" t="str">
        <f>'ADU-123'!$B$4</f>
        <v>Agriculture</v>
      </c>
      <c r="F107" s="133" t="str">
        <f>'ADU-123'!$B$12</f>
        <v>Agriculture</v>
      </c>
      <c r="G107" s="133" t="str">
        <f>'ADU-123'!$B$6</f>
        <v>Fonds propres</v>
      </c>
      <c r="H107" s="134">
        <f>'ADU-123'!$B$17</f>
        <v>25000</v>
      </c>
      <c r="I107" s="133" t="str">
        <f>'ADU-123'!$B$7</f>
        <v>Subs RW</v>
      </c>
      <c r="J107" s="134">
        <f>'ADU-123'!$B$18</f>
        <v>17500</v>
      </c>
      <c r="K107" s="134">
        <f>'ADU-123'!$B$21</f>
        <v>42000</v>
      </c>
      <c r="L107" s="134">
        <f>'ADU-123'!$B$22</f>
        <v>0</v>
      </c>
      <c r="M107" s="135">
        <f>'ADU-123'!$B$24</f>
        <v>0.17857142857142858</v>
      </c>
      <c r="N107" s="135">
        <f>'ADU-123'!$B$19/1000</f>
        <v>0</v>
      </c>
      <c r="O107" s="136">
        <f>IF(H107=0,0,N107/(H107-J107)*1000)</f>
        <v>0</v>
      </c>
      <c r="P107" s="137" t="str">
        <f>'ADU-123'!$B$5</f>
        <v>A investiguer</v>
      </c>
      <c r="Q107" s="140">
        <f>'ADU-123'!$B$16</f>
        <v>2030</v>
      </c>
      <c r="R107" s="283" t="str">
        <f t="shared" si="107"/>
        <v/>
      </c>
      <c r="S107" s="138">
        <f t="shared" si="92"/>
        <v>0</v>
      </c>
      <c r="T107" s="138">
        <f t="shared" si="93"/>
        <v>0</v>
      </c>
      <c r="U107" s="138">
        <f t="shared" si="94"/>
        <v>0</v>
      </c>
      <c r="V107" s="138">
        <f t="shared" si="95"/>
        <v>0</v>
      </c>
      <c r="W107" s="138">
        <f t="shared" si="96"/>
        <v>0</v>
      </c>
      <c r="X107" s="138">
        <f t="shared" si="97"/>
        <v>0</v>
      </c>
      <c r="Y107" s="138">
        <f t="shared" si="98"/>
        <v>0</v>
      </c>
      <c r="AA107" s="287">
        <f>IF(('Synthèse PER'!P107="A faire")*AND('Synthèse PER'!F107="Agriculture"),'Synthèse PER'!H107,0)</f>
        <v>0</v>
      </c>
      <c r="AB107" s="287">
        <f>IF(('Synthèse PER'!P107="A faire")*AND('Synthèse PER'!F107="Industrie"),'Synthèse PER'!H107,0)</f>
        <v>0</v>
      </c>
      <c r="AC107" s="287">
        <f>IF(('Synthèse PER'!P107="A faire")*AND('Synthèse PER'!F107="Citoyen"),'Synthèse PER'!H107,0)</f>
        <v>0</v>
      </c>
      <c r="AD107" s="287">
        <f>IF(('Synthèse PER'!P107="A faire")*AND('Synthèse PER'!F107="IDELUX"),'Synthèse PER'!H107,0)</f>
        <v>0</v>
      </c>
      <c r="AE107" s="290">
        <f>IF(('Synthèse PER'!P107="A faire")*AND('Synthèse PER'!F107="AC MESSANCY"),'Synthèse PER'!H107,0)</f>
        <v>0</v>
      </c>
      <c r="AF107" s="287">
        <f>IF(('Synthèse PER'!P107="A faire")*AND('Synthèse PER'!F107="Tertiaire"),'Synthèse PER'!H107,0)</f>
        <v>0</v>
      </c>
      <c r="AG107" s="288"/>
      <c r="AH107" s="290">
        <f>IF(('Synthèse PER'!P107="A faire")*AND('Synthèse PER'!F107="Agriculture"),'Synthèse PER'!J107,0)</f>
        <v>0</v>
      </c>
      <c r="AI107" s="290">
        <f>IF(('Synthèse PER'!P107="A faire")*AND('Synthèse PER'!F107="Industrie"),'Synthèse PER'!J107,0)</f>
        <v>0</v>
      </c>
      <c r="AJ107" s="290">
        <f>IF(('Synthèse PER'!P107="A faire")*AND('Synthèse PER'!F107="Citoyen"),'Synthèse PER'!J107,0)</f>
        <v>0</v>
      </c>
      <c r="AK107" s="290">
        <f>IF(('Synthèse PER'!P107="A faire")*AND('Synthèse PER'!F107="IDELUX"),'Synthèse PER'!J107,0)</f>
        <v>0</v>
      </c>
      <c r="AL107" s="290">
        <f>IF(('Synthèse PER'!P107="A faire")*AND('Synthèse PER'!F107="AC MESSANCY"),'Synthèse PER'!J107,0)</f>
        <v>0</v>
      </c>
      <c r="AM107" s="290">
        <f>IF(('Synthèse PER'!P107="A faire")*AND('Synthèse PER'!F107="Tertiaire"),'Synthèse PER'!J107,0)</f>
        <v>0</v>
      </c>
      <c r="AN107" s="288"/>
      <c r="AO107" s="290">
        <f>IF(('Synthèse PER'!P107="A faire")*AND('Synthèse PER'!E107="Territoire"),'Synthèse PER'!H107,0)</f>
        <v>0</v>
      </c>
      <c r="AP107" s="290">
        <f>IF(('Synthèse PER'!P107="A faire")*AND('Synthèse PER'!E107="Agriculture"),'Synthèse PER'!H107,0)</f>
        <v>0</v>
      </c>
      <c r="AQ107" s="290">
        <f>IF(('Synthèse PER'!P107="A faire")*AND('Synthèse PER'!E107="Industrie"),'Synthèse PER'!H107,0)</f>
        <v>0</v>
      </c>
      <c r="AR107" s="290">
        <f>IF(('Synthèse PER'!P107="A faire")*AND('Synthèse PER'!E107="Logement"),'Synthèse PER'!H107,0)</f>
        <v>0</v>
      </c>
      <c r="AS107" s="290">
        <f>IF(('Synthèse PER'!P107="A faire")*AND('Synthèse PER'!E107="Tertiaire"),'Synthèse PER'!H107,0)</f>
        <v>0</v>
      </c>
      <c r="AT107" s="290">
        <f>IF(('Synthèse PER'!P107="A faire")*AND('Synthèse PER'!E107="Transport"),'Synthèse PER'!H107,0)</f>
        <v>0</v>
      </c>
      <c r="AU107" s="290">
        <f>IF(('Synthèse PER'!P107="A faire")*AND('Synthèse PER'!E107="Communal"),'Synthèse PER'!H107,0)</f>
        <v>0</v>
      </c>
      <c r="AV107" s="288"/>
      <c r="AW107" s="290">
        <f>IF(('Synthèse PER'!P107="A faire")*AND('Synthèse PER'!E107="Territoire"),'Synthèse PER'!J107,0)</f>
        <v>0</v>
      </c>
      <c r="AX107" s="290">
        <f>IF(('Synthèse PER'!P107="A faire")*AND('Synthèse PER'!E107="Agriculture"),'Synthèse PER'!J107,0)</f>
        <v>0</v>
      </c>
      <c r="AY107" s="290">
        <f>IF(('Synthèse PER'!P107="A faire")*AND('Synthèse PER'!E107="Industrie"),'Synthèse PER'!J107,0)</f>
        <v>0</v>
      </c>
      <c r="AZ107" s="290">
        <f>IF(('Synthèse PER'!P107="A faire")*AND('Synthèse PER'!E107="Logement"),'Synthèse PER'!J107,0)</f>
        <v>0</v>
      </c>
      <c r="BA107" s="290">
        <f>IF(('Synthèse PER'!P107="A faire")*AND('Synthèse PER'!E107="Tertiaire"),'Synthèse PER'!J107,0)</f>
        <v>0</v>
      </c>
      <c r="BB107" s="290">
        <f>IF(('Synthèse PER'!P107="A faire")*AND('Synthèse PER'!E107="Transport"),'Synthèse PER'!J107,0)</f>
        <v>0</v>
      </c>
      <c r="BC107" s="290">
        <f>IF(('Synthèse PER'!P107="A faire")*AND('Synthèse PER'!E107="Communal"),'Synthèse PER'!J107,0)</f>
        <v>0</v>
      </c>
      <c r="BD107" s="288"/>
      <c r="BE107" s="290">
        <f>IF(('Synthèse PER'!P107="A faire")*AND('Synthèse PER'!E107="Territoire"),'Synthèse PER'!K107,0)</f>
        <v>0</v>
      </c>
      <c r="BF107" s="290">
        <f>IF(('Synthèse PER'!P107="A faire")*AND('Synthèse PER'!E107="Agriculture"),'Synthèse PER'!K107,0)</f>
        <v>0</v>
      </c>
      <c r="BG107" s="290">
        <f>IF(('Synthèse PER'!P107="A faire")*AND('Synthèse PER'!E107="Industrie"),'Synthèse PER'!K107,0)</f>
        <v>0</v>
      </c>
      <c r="BH107" s="290">
        <f>IF(('Synthèse PER'!P107="A faire")*AND('Synthèse PER'!E107="Logement"),'Synthèse PER'!K107,0)</f>
        <v>0</v>
      </c>
      <c r="BI107" s="290">
        <f>IF(('Synthèse PER'!P107="A faire")*AND('Synthèse PER'!E107="Tertiaire"),'Synthèse PER'!K107,0)</f>
        <v>0</v>
      </c>
      <c r="BJ107" s="290">
        <f>IF(('Synthèse PER'!P107="A faire")*AND('Synthèse PER'!E107="Transport"),'Synthèse PER'!K107,0)</f>
        <v>0</v>
      </c>
      <c r="BK107" s="290">
        <f>IF(('Synthèse PER'!P107="A faire")*AND('Synthèse PER'!E107="Communal"),'Synthèse PER'!K107,0)</f>
        <v>0</v>
      </c>
      <c r="BL107" s="288"/>
      <c r="BM107" s="290">
        <f>IF(('Synthèse PER'!P107="A faire")*AND('Synthèse PER'!E107="Territoire"),'Synthèse PER'!L107,0)</f>
        <v>0</v>
      </c>
      <c r="BN107" s="290">
        <f>IF(('Synthèse PER'!P107="A faire")*AND('Synthèse PER'!E107="Agriculture"),'Synthèse PER'!L107,0)</f>
        <v>0</v>
      </c>
      <c r="BO107" s="290">
        <f>IF(('Synthèse PER'!P107="A faire")*AND('Synthèse PER'!E107="Industrie"),'Synthèse PER'!L107,0)</f>
        <v>0</v>
      </c>
      <c r="BP107" s="290">
        <f>IF(('Synthèse PER'!P107="A faire")*AND('Synthèse PER'!E107="Logement"),'Synthèse PER'!L107,0)</f>
        <v>0</v>
      </c>
      <c r="BQ107" s="290">
        <f>IF(('Synthèse PER'!P107="A faire")*AND('Synthèse PER'!E107="Tertiaire"),'Synthèse PER'!L107,0)</f>
        <v>0</v>
      </c>
      <c r="BR107" s="290">
        <f>IF(('Synthèse PER'!P107="A faire")*AND('Synthèse PER'!E107="Transport"),'Synthèse PER'!L107,0)</f>
        <v>0</v>
      </c>
      <c r="BS107" s="290">
        <f>IF(('Synthèse PER'!P107="A faire")*AND('Synthèse PER'!E107="Communal"),'Synthèse PER'!L107,0)</f>
        <v>0</v>
      </c>
      <c r="BT107" s="290">
        <f>IF(('Synthèse PER'!Q107="A faire")*AND('Synthèse PER'!F107="Communal"),'Synthèse PER'!M107,0)</f>
        <v>0</v>
      </c>
    </row>
    <row r="108" spans="1:72" s="139" customFormat="1" x14ac:dyDescent="0.25">
      <c r="A108" s="369" t="s">
        <v>786</v>
      </c>
      <c r="B108" s="414" t="str">
        <f>'ADU-124'!B$3:E$3</f>
        <v>Agroforesterie/déchets</v>
      </c>
      <c r="C108" s="419" t="str">
        <f>'ADU-124'!$B$8</f>
        <v>Réseau de haies</v>
      </c>
      <c r="D108" s="133" t="str">
        <f>'ADU-124'!$B$9</f>
        <v>Réintroduction de haies vives</v>
      </c>
      <c r="E108" s="133" t="str">
        <f>'ADU-124'!$B$4</f>
        <v>Agriculture</v>
      </c>
      <c r="F108" s="133" t="str">
        <f>'ADU-124'!$B$12</f>
        <v>Agriculture</v>
      </c>
      <c r="G108" s="133" t="str">
        <f>'ADU-124'!$B$6</f>
        <v>Fonds propres</v>
      </c>
      <c r="H108" s="134">
        <f>'ADU-124'!$B$17</f>
        <v>75000</v>
      </c>
      <c r="I108" s="133" t="str">
        <f>'ADU-124'!$B$7</f>
        <v>Subs RW</v>
      </c>
      <c r="J108" s="134">
        <f>'ADU-124'!$B$18</f>
        <v>52500</v>
      </c>
      <c r="K108" s="134">
        <f>'ADU-124'!$B$21</f>
        <v>1</v>
      </c>
      <c r="L108" s="134">
        <f>'ADU-124'!$B$22</f>
        <v>0</v>
      </c>
      <c r="M108" s="135">
        <f>'ADU-124'!$B$24</f>
        <v>22500</v>
      </c>
      <c r="N108" s="135">
        <f>'ADU-124'!$B$19/1000</f>
        <v>0</v>
      </c>
      <c r="O108" s="136">
        <f>IF(H108=0,0,N108/(H108-J108)*1000)</f>
        <v>0</v>
      </c>
      <c r="P108" s="137" t="str">
        <f>'ADU-124'!$B$5</f>
        <v>A faire</v>
      </c>
      <c r="Q108" s="140">
        <f>'ADU-124'!$B$16</f>
        <v>2030</v>
      </c>
      <c r="R108" s="284" t="str">
        <f t="shared" si="107"/>
        <v/>
      </c>
      <c r="S108" s="138">
        <f t="shared" si="92"/>
        <v>0</v>
      </c>
      <c r="T108" s="138">
        <f t="shared" si="93"/>
        <v>0</v>
      </c>
      <c r="U108" s="138">
        <f t="shared" si="94"/>
        <v>0</v>
      </c>
      <c r="V108" s="138">
        <f t="shared" si="95"/>
        <v>0</v>
      </c>
      <c r="W108" s="138">
        <f t="shared" si="96"/>
        <v>0</v>
      </c>
      <c r="X108" s="138">
        <f t="shared" si="97"/>
        <v>0</v>
      </c>
      <c r="Y108" s="138">
        <f t="shared" si="98"/>
        <v>0</v>
      </c>
      <c r="AA108" s="287">
        <f>IF(('Synthèse PER'!P108="A faire")*AND('Synthèse PER'!F108="Agriculture"),'Synthèse PER'!H108,0)</f>
        <v>75000</v>
      </c>
      <c r="AB108" s="287">
        <f>IF(('Synthèse PER'!P108="A faire")*AND('Synthèse PER'!F108="Industrie"),'Synthèse PER'!H108,0)</f>
        <v>0</v>
      </c>
      <c r="AC108" s="287">
        <f>IF(('Synthèse PER'!P108="A faire")*AND('Synthèse PER'!F108="Citoyen"),'Synthèse PER'!H108,0)</f>
        <v>0</v>
      </c>
      <c r="AD108" s="287">
        <f>IF(('Synthèse PER'!P108="A faire")*AND('Synthèse PER'!F108="IDELUX"),'Synthèse PER'!H108,0)</f>
        <v>0</v>
      </c>
      <c r="AE108" s="290">
        <f>IF(('Synthèse PER'!P108="A faire")*AND('Synthèse PER'!F108="AC MESSANCY"),'Synthèse PER'!H108,0)</f>
        <v>0</v>
      </c>
      <c r="AF108" s="287">
        <f>IF(('Synthèse PER'!P108="A faire")*AND('Synthèse PER'!F108="Tertiaire"),'Synthèse PER'!H108,0)</f>
        <v>0</v>
      </c>
      <c r="AG108" s="288"/>
      <c r="AH108" s="290">
        <f>IF(('Synthèse PER'!P108="A faire")*AND('Synthèse PER'!F108="Agriculture"),'Synthèse PER'!J108,0)</f>
        <v>52500</v>
      </c>
      <c r="AI108" s="290">
        <f>IF(('Synthèse PER'!P108="A faire")*AND('Synthèse PER'!F108="Industrie"),'Synthèse PER'!J108,0)</f>
        <v>0</v>
      </c>
      <c r="AJ108" s="290">
        <f>IF(('Synthèse PER'!P108="A faire")*AND('Synthèse PER'!F108="Citoyen"),'Synthèse PER'!J108,0)</f>
        <v>0</v>
      </c>
      <c r="AK108" s="290">
        <f>IF(('Synthèse PER'!P108="A faire")*AND('Synthèse PER'!F108="IDELUX"),'Synthèse PER'!J108,0)</f>
        <v>0</v>
      </c>
      <c r="AL108" s="290">
        <f>IF(('Synthèse PER'!P108="A faire")*AND('Synthèse PER'!F108="AC MESSANCY"),'Synthèse PER'!J108,0)</f>
        <v>0</v>
      </c>
      <c r="AM108" s="290">
        <f>IF(('Synthèse PER'!P108="A faire")*AND('Synthèse PER'!F108="Tertiaire"),'Synthèse PER'!J108,0)</f>
        <v>0</v>
      </c>
      <c r="AN108" s="288"/>
      <c r="AO108" s="290">
        <f>IF(('Synthèse PER'!P108="A faire")*AND('Synthèse PER'!E108="Territoire"),'Synthèse PER'!H108,0)</f>
        <v>0</v>
      </c>
      <c r="AP108" s="290">
        <f>IF(('Synthèse PER'!P108="A faire")*AND('Synthèse PER'!E108="Agriculture"),'Synthèse PER'!H108,0)</f>
        <v>75000</v>
      </c>
      <c r="AQ108" s="290">
        <f>IF(('Synthèse PER'!P108="A faire")*AND('Synthèse PER'!E108="Industrie"),'Synthèse PER'!H108,0)</f>
        <v>0</v>
      </c>
      <c r="AR108" s="290">
        <f>IF(('Synthèse PER'!P108="A faire")*AND('Synthèse PER'!E108="Logement"),'Synthèse PER'!H108,0)</f>
        <v>0</v>
      </c>
      <c r="AS108" s="290">
        <f>IF(('Synthèse PER'!P108="A faire")*AND('Synthèse PER'!E108="Tertiaire"),'Synthèse PER'!H108,0)</f>
        <v>0</v>
      </c>
      <c r="AT108" s="290">
        <f>IF(('Synthèse PER'!P108="A faire")*AND('Synthèse PER'!E108="Transport"),'Synthèse PER'!H108,0)</f>
        <v>0</v>
      </c>
      <c r="AU108" s="290">
        <f>IF(('Synthèse PER'!P108="A faire")*AND('Synthèse PER'!E108="Communal"),'Synthèse PER'!H108,0)</f>
        <v>0</v>
      </c>
      <c r="AV108" s="288"/>
      <c r="AW108" s="290">
        <f>IF(('Synthèse PER'!P108="A faire")*AND('Synthèse PER'!E108="Territoire"),'Synthèse PER'!J108,0)</f>
        <v>0</v>
      </c>
      <c r="AX108" s="290">
        <f>IF(('Synthèse PER'!P108="A faire")*AND('Synthèse PER'!E108="Agriculture"),'Synthèse PER'!J108,0)</f>
        <v>52500</v>
      </c>
      <c r="AY108" s="290">
        <f>IF(('Synthèse PER'!P108="A faire")*AND('Synthèse PER'!E108="Industrie"),'Synthèse PER'!J108,0)</f>
        <v>0</v>
      </c>
      <c r="AZ108" s="290">
        <f>IF(('Synthèse PER'!P108="A faire")*AND('Synthèse PER'!E108="Logement"),'Synthèse PER'!J108,0)</f>
        <v>0</v>
      </c>
      <c r="BA108" s="290">
        <f>IF(('Synthèse PER'!P108="A faire")*AND('Synthèse PER'!E108="Tertiaire"),'Synthèse PER'!J108,0)</f>
        <v>0</v>
      </c>
      <c r="BB108" s="290">
        <f>IF(('Synthèse PER'!P108="A faire")*AND('Synthèse PER'!E108="Transport"),'Synthèse PER'!J108,0)</f>
        <v>0</v>
      </c>
      <c r="BC108" s="290">
        <f>IF(('Synthèse PER'!P108="A faire")*AND('Synthèse PER'!E108="Communal"),'Synthèse PER'!J108,0)</f>
        <v>0</v>
      </c>
      <c r="BD108" s="288"/>
      <c r="BE108" s="290">
        <f>IF(('Synthèse PER'!P108="A faire")*AND('Synthèse PER'!E108="Territoire"),'Synthèse PER'!K108,0)</f>
        <v>0</v>
      </c>
      <c r="BF108" s="290">
        <f>IF(('Synthèse PER'!P108="A faire")*AND('Synthèse PER'!E108="Agriculture"),'Synthèse PER'!K108,0)</f>
        <v>1</v>
      </c>
      <c r="BG108" s="290">
        <f>IF(('Synthèse PER'!P108="A faire")*AND('Synthèse PER'!E108="Industrie"),'Synthèse PER'!K108,0)</f>
        <v>0</v>
      </c>
      <c r="BH108" s="290">
        <f>IF(('Synthèse PER'!P108="A faire")*AND('Synthèse PER'!E108="Logement"),'Synthèse PER'!K108,0)</f>
        <v>0</v>
      </c>
      <c r="BI108" s="290">
        <f>IF(('Synthèse PER'!P108="A faire")*AND('Synthèse PER'!E108="Tertiaire"),'Synthèse PER'!K108,0)</f>
        <v>0</v>
      </c>
      <c r="BJ108" s="290">
        <f>IF(('Synthèse PER'!P108="A faire")*AND('Synthèse PER'!E108="Transport"),'Synthèse PER'!K108,0)</f>
        <v>0</v>
      </c>
      <c r="BK108" s="290">
        <f>IF(('Synthèse PER'!P108="A faire")*AND('Synthèse PER'!E108="Communal"),'Synthèse PER'!K108,0)</f>
        <v>0</v>
      </c>
      <c r="BL108" s="288"/>
      <c r="BM108" s="290">
        <f>IF(('Synthèse PER'!P108="A faire")*AND('Synthèse PER'!E108="Territoire"),'Synthèse PER'!L108,0)</f>
        <v>0</v>
      </c>
      <c r="BN108" s="290">
        <f>IF(('Synthèse PER'!P108="A faire")*AND('Synthèse PER'!E108="Agriculture"),'Synthèse PER'!L108,0)</f>
        <v>0</v>
      </c>
      <c r="BO108" s="290">
        <f>IF(('Synthèse PER'!P108="A faire")*AND('Synthèse PER'!E108="Industrie"),'Synthèse PER'!L108,0)</f>
        <v>0</v>
      </c>
      <c r="BP108" s="290">
        <f>IF(('Synthèse PER'!P108="A faire")*AND('Synthèse PER'!E108="Logement"),'Synthèse PER'!L108,0)</f>
        <v>0</v>
      </c>
      <c r="BQ108" s="290">
        <f>IF(('Synthèse PER'!P108="A faire")*AND('Synthèse PER'!E108="Tertiaire"),'Synthèse PER'!L108,0)</f>
        <v>0</v>
      </c>
      <c r="BR108" s="290">
        <f>IF(('Synthèse PER'!P108="A faire")*AND('Synthèse PER'!E108="Transport"),'Synthèse PER'!L108,0)</f>
        <v>0</v>
      </c>
      <c r="BS108" s="290">
        <f>IF(('Synthèse PER'!P108="A faire")*AND('Synthèse PER'!E108="Communal"),'Synthèse PER'!L108,0)</f>
        <v>0</v>
      </c>
      <c r="BT108" s="290">
        <f>IF(('Synthèse PER'!Q108="A faire")*AND('Synthèse PER'!F108="Communal"),'Synthèse PER'!M108,0)</f>
        <v>0</v>
      </c>
    </row>
    <row r="109" spans="1:72" s="139" customFormat="1" ht="15" customHeight="1" x14ac:dyDescent="0.25">
      <c r="A109" s="369" t="s">
        <v>785</v>
      </c>
      <c r="B109" s="414" t="str">
        <f>'ADU-140'!B$3:E$3</f>
        <v>Eclairage public</v>
      </c>
      <c r="C109" s="419" t="str">
        <f>'ADU-140'!$B$8</f>
        <v>Eclairage public</v>
      </c>
      <c r="D109" s="133" t="str">
        <f>'ADU-140'!$B$9</f>
        <v>Plan EPURE</v>
      </c>
      <c r="E109" s="133" t="str">
        <f>'ADU-140'!$B$4</f>
        <v>Territoire</v>
      </c>
      <c r="F109" s="133" t="str">
        <f>'ADU-140'!$B$12</f>
        <v>AC MESSANCY</v>
      </c>
      <c r="G109" s="133" t="str">
        <f>'ADU-140'!$B$6</f>
        <v>1/3 invest</v>
      </c>
      <c r="H109" s="134">
        <f>'ADU-140'!$B$17</f>
        <v>55000</v>
      </c>
      <c r="I109" s="133" t="str">
        <f>'ADU-140'!$B$7</f>
        <v>Néant</v>
      </c>
      <c r="J109" s="134">
        <f>'ADU-140'!$B$18</f>
        <v>0</v>
      </c>
      <c r="K109" s="134">
        <f>'ADU-140'!$B$21</f>
        <v>38783.285999999993</v>
      </c>
      <c r="L109" s="134">
        <f>'ADU-140'!$B$22</f>
        <v>0</v>
      </c>
      <c r="M109" s="135">
        <f>'ADU-140'!$B$24</f>
        <v>1.4181366684607388</v>
      </c>
      <c r="N109" s="135">
        <f>'ADU-140'!$B$19/1000</f>
        <v>430.92539999999997</v>
      </c>
      <c r="O109" s="136"/>
      <c r="P109" s="137" t="str">
        <f>'ADU-140'!$B$5</f>
        <v>A faire</v>
      </c>
      <c r="Q109" s="140">
        <f>'ADU-140'!$B$16</f>
        <v>2025</v>
      </c>
      <c r="R109" s="283" t="str">
        <f t="shared" si="107"/>
        <v/>
      </c>
      <c r="S109" s="138">
        <f t="shared" si="92"/>
        <v>0</v>
      </c>
      <c r="T109" s="138">
        <f t="shared" si="93"/>
        <v>0</v>
      </c>
      <c r="U109" s="138">
        <f t="shared" si="94"/>
        <v>0</v>
      </c>
      <c r="V109" s="138">
        <f t="shared" si="95"/>
        <v>0</v>
      </c>
      <c r="W109" s="138">
        <f t="shared" si="96"/>
        <v>0</v>
      </c>
      <c r="X109" s="138">
        <f t="shared" si="97"/>
        <v>0</v>
      </c>
      <c r="Y109" s="138">
        <f t="shared" si="98"/>
        <v>0</v>
      </c>
      <c r="AA109" s="287">
        <f>IF(('Synthèse PER'!P109="A faire")*AND('Synthèse PER'!F109="Agriculture"),'Synthèse PER'!H109,0)</f>
        <v>0</v>
      </c>
      <c r="AB109" s="287">
        <f>IF(('Synthèse PER'!P109="A faire")*AND('Synthèse PER'!F109="Industrie"),'Synthèse PER'!H109,0)</f>
        <v>0</v>
      </c>
      <c r="AC109" s="287">
        <f>IF(('Synthèse PER'!P109="A faire")*AND('Synthèse PER'!F109="Citoyen"),'Synthèse PER'!H109,0)</f>
        <v>0</v>
      </c>
      <c r="AD109" s="287">
        <f>IF(('Synthèse PER'!P109="A faire")*AND('Synthèse PER'!F109="IDELUX"),'Synthèse PER'!H109,0)</f>
        <v>0</v>
      </c>
      <c r="AE109" s="290">
        <f>IF(('Synthèse PER'!P109="A faire")*AND('Synthèse PER'!F109="AC MESSANCY"),'Synthèse PER'!H109,0)</f>
        <v>55000</v>
      </c>
      <c r="AF109" s="287">
        <f>IF(('Synthèse PER'!P109="A faire")*AND('Synthèse PER'!F109="Tertiaire"),'Synthèse PER'!H109,0)</f>
        <v>0</v>
      </c>
      <c r="AG109" s="288"/>
      <c r="AH109" s="290">
        <f>IF(('Synthèse PER'!P109="A faire")*AND('Synthèse PER'!F109="Agriculture"),'Synthèse PER'!J109,0)</f>
        <v>0</v>
      </c>
      <c r="AI109" s="290">
        <f>IF(('Synthèse PER'!P109="A faire")*AND('Synthèse PER'!F109="Industrie"),'Synthèse PER'!J109,0)</f>
        <v>0</v>
      </c>
      <c r="AJ109" s="290">
        <f>IF(('Synthèse PER'!P109="A faire")*AND('Synthèse PER'!F109="Citoyen"),'Synthèse PER'!J109,0)</f>
        <v>0</v>
      </c>
      <c r="AK109" s="290">
        <f>IF(('Synthèse PER'!P109="A faire")*AND('Synthèse PER'!F109="IDELUX"),'Synthèse PER'!J109,0)</f>
        <v>0</v>
      </c>
      <c r="AL109" s="290">
        <f>IF(('Synthèse PER'!P109="A faire")*AND('Synthèse PER'!F109="AC MESSANCY"),'Synthèse PER'!J109,0)</f>
        <v>0</v>
      </c>
      <c r="AM109" s="290">
        <f>IF(('Synthèse PER'!P109="A faire")*AND('Synthèse PER'!F109="Tertiaire"),'Synthèse PER'!J109,0)</f>
        <v>0</v>
      </c>
      <c r="AN109" s="288"/>
      <c r="AO109" s="290">
        <f>IF(('Synthèse PER'!P109="A faire")*AND('Synthèse PER'!E109="Territoire"),'Synthèse PER'!H109,0)</f>
        <v>55000</v>
      </c>
      <c r="AP109" s="290">
        <f>IF(('Synthèse PER'!P109="A faire")*AND('Synthèse PER'!E109="Agriculture"),'Synthèse PER'!H109,0)</f>
        <v>0</v>
      </c>
      <c r="AQ109" s="290">
        <f>IF(('Synthèse PER'!P109="A faire")*AND('Synthèse PER'!E109="Industrie"),'Synthèse PER'!H109,0)</f>
        <v>0</v>
      </c>
      <c r="AR109" s="290">
        <f>IF(('Synthèse PER'!P109="A faire")*AND('Synthèse PER'!E109="Logement"),'Synthèse PER'!H109,0)</f>
        <v>0</v>
      </c>
      <c r="AS109" s="290">
        <f>IF(('Synthèse PER'!P109="A faire")*AND('Synthèse PER'!E109="Tertiaire"),'Synthèse PER'!H109,0)</f>
        <v>0</v>
      </c>
      <c r="AT109" s="290">
        <f>IF(('Synthèse PER'!P109="A faire")*AND('Synthèse PER'!E109="Transport"),'Synthèse PER'!H109,0)</f>
        <v>0</v>
      </c>
      <c r="AU109" s="290">
        <f>IF(('Synthèse PER'!P109="A faire")*AND('Synthèse PER'!E109="Communal"),'Synthèse PER'!H109,0)</f>
        <v>0</v>
      </c>
      <c r="AV109" s="288"/>
      <c r="AW109" s="290">
        <f>IF(('Synthèse PER'!P109="A faire")*AND('Synthèse PER'!E109="Territoire"),'Synthèse PER'!J109,0)</f>
        <v>0</v>
      </c>
      <c r="AX109" s="290">
        <f>IF(('Synthèse PER'!P109="A faire")*AND('Synthèse PER'!E109="Agriculture"),'Synthèse PER'!J109,0)</f>
        <v>0</v>
      </c>
      <c r="AY109" s="290">
        <f>IF(('Synthèse PER'!P109="A faire")*AND('Synthèse PER'!E109="Industrie"),'Synthèse PER'!J109,0)</f>
        <v>0</v>
      </c>
      <c r="AZ109" s="290">
        <f>IF(('Synthèse PER'!P109="A faire")*AND('Synthèse PER'!E109="Logement"),'Synthèse PER'!J109,0)</f>
        <v>0</v>
      </c>
      <c r="BA109" s="290">
        <f>IF(('Synthèse PER'!P109="A faire")*AND('Synthèse PER'!E109="Tertiaire"),'Synthèse PER'!J109,0)</f>
        <v>0</v>
      </c>
      <c r="BB109" s="290">
        <f>IF(('Synthèse PER'!P109="A faire")*AND('Synthèse PER'!E109="Transport"),'Synthèse PER'!J109,0)</f>
        <v>0</v>
      </c>
      <c r="BC109" s="290">
        <f>IF(('Synthèse PER'!P109="A faire")*AND('Synthèse PER'!E109="Communal"),'Synthèse PER'!J109,0)</f>
        <v>0</v>
      </c>
      <c r="BD109" s="288"/>
      <c r="BE109" s="290">
        <f>IF(('Synthèse PER'!P109="A faire")*AND('Synthèse PER'!E109="Territoire"),'Synthèse PER'!K109,0)</f>
        <v>38783.285999999993</v>
      </c>
      <c r="BF109" s="290">
        <f>IF(('Synthèse PER'!P109="A faire")*AND('Synthèse PER'!E109="Agriculture"),'Synthèse PER'!K109,0)</f>
        <v>0</v>
      </c>
      <c r="BG109" s="290">
        <f>IF(('Synthèse PER'!P109="A faire")*AND('Synthèse PER'!E109="Industrie"),'Synthèse PER'!K109,0)</f>
        <v>0</v>
      </c>
      <c r="BH109" s="290">
        <f>IF(('Synthèse PER'!P109="A faire")*AND('Synthèse PER'!E109="Logement"),'Synthèse PER'!K109,0)</f>
        <v>0</v>
      </c>
      <c r="BI109" s="290">
        <f>IF(('Synthèse PER'!P109="A faire")*AND('Synthèse PER'!E109="Tertiaire"),'Synthèse PER'!K109,0)</f>
        <v>0</v>
      </c>
      <c r="BJ109" s="290">
        <f>IF(('Synthèse PER'!P109="A faire")*AND('Synthèse PER'!E109="Transport"),'Synthèse PER'!K109,0)</f>
        <v>0</v>
      </c>
      <c r="BK109" s="290">
        <f>IF(('Synthèse PER'!P109="A faire")*AND('Synthèse PER'!E109="Communal"),'Synthèse PER'!K109,0)</f>
        <v>0</v>
      </c>
      <c r="BL109" s="288"/>
      <c r="BM109" s="290">
        <f>IF(('Synthèse PER'!P109="A faire")*AND('Synthèse PER'!E109="Territoire"),'Synthèse PER'!L109,0)</f>
        <v>0</v>
      </c>
      <c r="BN109" s="290">
        <f>IF(('Synthèse PER'!P109="A faire")*AND('Synthèse PER'!E109="Agriculture"),'Synthèse PER'!L109,0)</f>
        <v>0</v>
      </c>
      <c r="BO109" s="290">
        <f>IF(('Synthèse PER'!P109="A faire")*AND('Synthèse PER'!E109="Industrie"),'Synthèse PER'!L109,0)</f>
        <v>0</v>
      </c>
      <c r="BP109" s="290">
        <f>IF(('Synthèse PER'!P109="A faire")*AND('Synthèse PER'!E109="Logement"),'Synthèse PER'!L109,0)</f>
        <v>0</v>
      </c>
      <c r="BQ109" s="290">
        <f>IF(('Synthèse PER'!P109="A faire")*AND('Synthèse PER'!E109="Tertiaire"),'Synthèse PER'!L109,0)</f>
        <v>0</v>
      </c>
      <c r="BR109" s="290">
        <f>IF(('Synthèse PER'!P109="A faire")*AND('Synthèse PER'!E109="Transport"),'Synthèse PER'!L109,0)</f>
        <v>0</v>
      </c>
      <c r="BS109" s="290">
        <f>IF(('Synthèse PER'!P109="A faire")*AND('Synthèse PER'!E109="Communal"),'Synthèse PER'!L109,0)</f>
        <v>0</v>
      </c>
      <c r="BT109" s="290">
        <f>IF(('Synthèse PER'!Q109="A faire")*AND('Synthèse PER'!F109="Communal"),'Synthèse PER'!M109,0)</f>
        <v>0</v>
      </c>
    </row>
    <row r="110" spans="1:72" s="139" customFormat="1" x14ac:dyDescent="0.25">
      <c r="A110" s="371" t="s">
        <v>617</v>
      </c>
      <c r="B110" s="414" t="str">
        <f>'ADA-1'!B$3:E$3</f>
        <v>Gestion communale</v>
      </c>
      <c r="C110" s="419" t="str">
        <f>'ADA-1'!$B$8</f>
        <v>Gestion de crises</v>
      </c>
      <c r="D110" s="133" t="str">
        <f>'ADA-8'!$B$9</f>
        <v>Réduction de la pression sur les ressources en eau</v>
      </c>
      <c r="E110" s="133" t="str">
        <f>'ADA-1'!$B$4</f>
        <v>Territoire</v>
      </c>
      <c r="F110" s="133" t="str">
        <f>'ADA-1'!$B$12</f>
        <v>AC MESSANCY</v>
      </c>
      <c r="G110" s="133" t="str">
        <f>'ADA-1'!$B$6</f>
        <v>Néant</v>
      </c>
      <c r="H110" s="134">
        <f>'ADA-1'!$B$17</f>
        <v>0</v>
      </c>
      <c r="I110" s="133" t="str">
        <f>'ADA-1'!$B$7</f>
        <v>Néant</v>
      </c>
      <c r="J110" s="134">
        <f>'ADA-1'!$B$18</f>
        <v>0</v>
      </c>
      <c r="K110" s="134">
        <f>'ADA-1'!$B$21</f>
        <v>1</v>
      </c>
      <c r="L110" s="134">
        <f>'ADA-1'!$B$22</f>
        <v>0</v>
      </c>
      <c r="M110" s="135">
        <f>'ADA-1'!$B$24</f>
        <v>0</v>
      </c>
      <c r="N110" s="135">
        <f>'ADA-1'!$B$19/1000</f>
        <v>0</v>
      </c>
      <c r="O110" s="136">
        <f>IF(H110=0,0,N110/(H110-J110)*1000)</f>
        <v>0</v>
      </c>
      <c r="P110" s="137" t="str">
        <f>'ADA-1'!$B$5</f>
        <v>Terminé</v>
      </c>
      <c r="Q110" s="140">
        <f>'ADA-1'!$B$16</f>
        <v>2012</v>
      </c>
      <c r="R110" s="284">
        <f t="shared" si="107"/>
        <v>0</v>
      </c>
      <c r="S110" s="138">
        <f t="shared" si="92"/>
        <v>0</v>
      </c>
      <c r="T110" s="138">
        <f t="shared" si="93"/>
        <v>0</v>
      </c>
      <c r="U110" s="138">
        <f t="shared" si="94"/>
        <v>0</v>
      </c>
      <c r="V110" s="138">
        <f t="shared" si="95"/>
        <v>0</v>
      </c>
      <c r="W110" s="138">
        <f t="shared" si="96"/>
        <v>0</v>
      </c>
      <c r="X110" s="138">
        <f t="shared" si="97"/>
        <v>0</v>
      </c>
      <c r="Y110" s="138">
        <f t="shared" si="98"/>
        <v>0</v>
      </c>
      <c r="AA110" s="287">
        <f>IF(('Synthèse PER'!P110="A faire")*AND('Synthèse PER'!F110="Agriculture"),'Synthèse PER'!H110,0)</f>
        <v>0</v>
      </c>
      <c r="AB110" s="287">
        <f>IF(('Synthèse PER'!P110="A faire")*AND('Synthèse PER'!F110="Industrie"),'Synthèse PER'!H110,0)</f>
        <v>0</v>
      </c>
      <c r="AC110" s="287">
        <f>IF(('Synthèse PER'!P110="A faire")*AND('Synthèse PER'!F110="Citoyen"),'Synthèse PER'!H110,0)</f>
        <v>0</v>
      </c>
      <c r="AD110" s="287">
        <f>IF(('Synthèse PER'!P110="A faire")*AND('Synthèse PER'!F110="IDELUX"),'Synthèse PER'!H110,0)</f>
        <v>0</v>
      </c>
      <c r="AE110" s="290">
        <f>IF(('Synthèse PER'!P110="A faire")*AND('Synthèse PER'!F110="AC MESSANCY"),'Synthèse PER'!H110,0)</f>
        <v>0</v>
      </c>
      <c r="AF110" s="287">
        <f>IF(('Synthèse PER'!P110="A faire")*AND('Synthèse PER'!F110="Tertiaire"),'Synthèse PER'!H110,0)</f>
        <v>0</v>
      </c>
      <c r="AG110" s="288"/>
      <c r="AH110" s="290">
        <f>IF(('Synthèse PER'!P110="A faire")*AND('Synthèse PER'!F110="Agriculture"),'Synthèse PER'!J110,0)</f>
        <v>0</v>
      </c>
      <c r="AI110" s="290">
        <f>IF(('Synthèse PER'!P110="A faire")*AND('Synthèse PER'!F110="Industrie"),'Synthèse PER'!J110,0)</f>
        <v>0</v>
      </c>
      <c r="AJ110" s="290">
        <f>IF(('Synthèse PER'!P110="A faire")*AND('Synthèse PER'!F110="Citoyen"),'Synthèse PER'!J110,0)</f>
        <v>0</v>
      </c>
      <c r="AK110" s="290">
        <f>IF(('Synthèse PER'!P110="A faire")*AND('Synthèse PER'!F110="IDELUX"),'Synthèse PER'!J110,0)</f>
        <v>0</v>
      </c>
      <c r="AL110" s="290">
        <f>IF(('Synthèse PER'!P110="A faire")*AND('Synthèse PER'!F110="AC MESSANCY"),'Synthèse PER'!J110,0)</f>
        <v>0</v>
      </c>
      <c r="AM110" s="290">
        <f>IF(('Synthèse PER'!P110="A faire")*AND('Synthèse PER'!F110="Tertiaire"),'Synthèse PER'!J110,0)</f>
        <v>0</v>
      </c>
      <c r="AN110" s="288"/>
      <c r="AO110" s="290">
        <f>IF(('Synthèse PER'!P110="A faire")*AND('Synthèse PER'!E110="Territoire"),'Synthèse PER'!H110,0)</f>
        <v>0</v>
      </c>
      <c r="AP110" s="290">
        <f>IF(('Synthèse PER'!P110="A faire")*AND('Synthèse PER'!E110="Agriculture"),'Synthèse PER'!H110,0)</f>
        <v>0</v>
      </c>
      <c r="AQ110" s="290">
        <f>IF(('Synthèse PER'!P110="A faire")*AND('Synthèse PER'!E110="Industrie"),'Synthèse PER'!H110,0)</f>
        <v>0</v>
      </c>
      <c r="AR110" s="290">
        <f>IF(('Synthèse PER'!P110="A faire")*AND('Synthèse PER'!E110="Logement"),'Synthèse PER'!H110,0)</f>
        <v>0</v>
      </c>
      <c r="AS110" s="290">
        <f>IF(('Synthèse PER'!P110="A faire")*AND('Synthèse PER'!E110="Tertiaire"),'Synthèse PER'!H110,0)</f>
        <v>0</v>
      </c>
      <c r="AT110" s="290">
        <f>IF(('Synthèse PER'!P110="A faire")*AND('Synthèse PER'!E110="Transport"),'Synthèse PER'!H110,0)</f>
        <v>0</v>
      </c>
      <c r="AU110" s="290">
        <f>IF(('Synthèse PER'!P110="A faire")*AND('Synthèse PER'!E110="Communal"),'Synthèse PER'!H110,0)</f>
        <v>0</v>
      </c>
      <c r="AV110" s="288"/>
      <c r="AW110" s="290">
        <f>IF(('Synthèse PER'!P110="A faire")*AND('Synthèse PER'!E110="Territoire"),'Synthèse PER'!J110,0)</f>
        <v>0</v>
      </c>
      <c r="AX110" s="290">
        <f>IF(('Synthèse PER'!P110="A faire")*AND('Synthèse PER'!E110="Agriculture"),'Synthèse PER'!J110,0)</f>
        <v>0</v>
      </c>
      <c r="AY110" s="290">
        <f>IF(('Synthèse PER'!P110="A faire")*AND('Synthèse PER'!E110="Industrie"),'Synthèse PER'!J110,0)</f>
        <v>0</v>
      </c>
      <c r="AZ110" s="290">
        <f>IF(('Synthèse PER'!P110="A faire")*AND('Synthèse PER'!E110="Logement"),'Synthèse PER'!J110,0)</f>
        <v>0</v>
      </c>
      <c r="BA110" s="290">
        <f>IF(('Synthèse PER'!P110="A faire")*AND('Synthèse PER'!E110="Tertiaire"),'Synthèse PER'!J110,0)</f>
        <v>0</v>
      </c>
      <c r="BB110" s="290">
        <f>IF(('Synthèse PER'!P110="A faire")*AND('Synthèse PER'!E110="Transport"),'Synthèse PER'!J110,0)</f>
        <v>0</v>
      </c>
      <c r="BC110" s="290">
        <f>IF(('Synthèse PER'!P110="A faire")*AND('Synthèse PER'!E110="Communal"),'Synthèse PER'!J110,0)</f>
        <v>0</v>
      </c>
      <c r="BD110" s="288"/>
      <c r="BE110" s="290">
        <f>IF(('Synthèse PER'!P110="A faire")*AND('Synthèse PER'!E110="Territoire"),'Synthèse PER'!K110,0)</f>
        <v>0</v>
      </c>
      <c r="BF110" s="290">
        <f>IF(('Synthèse PER'!P110="A faire")*AND('Synthèse PER'!E110="Agriculture"),'Synthèse PER'!K110,0)</f>
        <v>0</v>
      </c>
      <c r="BG110" s="290">
        <f>IF(('Synthèse PER'!P110="A faire")*AND('Synthèse PER'!E110="Industrie"),'Synthèse PER'!K110,0)</f>
        <v>0</v>
      </c>
      <c r="BH110" s="290">
        <f>IF(('Synthèse PER'!P110="A faire")*AND('Synthèse PER'!E110="Logement"),'Synthèse PER'!K110,0)</f>
        <v>0</v>
      </c>
      <c r="BI110" s="290">
        <f>IF(('Synthèse PER'!P110="A faire")*AND('Synthèse PER'!E110="Tertiaire"),'Synthèse PER'!K110,0)</f>
        <v>0</v>
      </c>
      <c r="BJ110" s="290">
        <f>IF(('Synthèse PER'!P110="A faire")*AND('Synthèse PER'!E110="Transport"),'Synthèse PER'!K110,0)</f>
        <v>0</v>
      </c>
      <c r="BK110" s="290">
        <f>IF(('Synthèse PER'!P110="A faire")*AND('Synthèse PER'!E110="Communal"),'Synthèse PER'!K110,0)</f>
        <v>0</v>
      </c>
      <c r="BL110" s="288"/>
      <c r="BM110" s="290">
        <f>IF(('Synthèse PER'!P110="A faire")*AND('Synthèse PER'!E110="Territoire"),'Synthèse PER'!L110,0)</f>
        <v>0</v>
      </c>
      <c r="BN110" s="290">
        <f>IF(('Synthèse PER'!P110="A faire")*AND('Synthèse PER'!E110="Agriculture"),'Synthèse PER'!L110,0)</f>
        <v>0</v>
      </c>
      <c r="BO110" s="290">
        <f>IF(('Synthèse PER'!P110="A faire")*AND('Synthèse PER'!E110="Industrie"),'Synthèse PER'!L110,0)</f>
        <v>0</v>
      </c>
      <c r="BP110" s="290">
        <f>IF(('Synthèse PER'!P110="A faire")*AND('Synthèse PER'!E110="Logement"),'Synthèse PER'!L110,0)</f>
        <v>0</v>
      </c>
      <c r="BQ110" s="290">
        <f>IF(('Synthèse PER'!P110="A faire")*AND('Synthèse PER'!E110="Tertiaire"),'Synthèse PER'!L110,0)</f>
        <v>0</v>
      </c>
      <c r="BR110" s="290">
        <f>IF(('Synthèse PER'!P110="A faire")*AND('Synthèse PER'!E110="Transport"),'Synthèse PER'!L110,0)</f>
        <v>0</v>
      </c>
      <c r="BS110" s="290">
        <f>IF(('Synthèse PER'!P110="A faire")*AND('Synthèse PER'!E110="Communal"),'Synthèse PER'!L110,0)</f>
        <v>0</v>
      </c>
      <c r="BT110" s="290">
        <f>IF(('Synthèse PER'!Q110="A faire")*AND('Synthèse PER'!F110="Communal"),'Synthèse PER'!M110,0)</f>
        <v>0</v>
      </c>
    </row>
    <row r="111" spans="1:72" s="139" customFormat="1" ht="15" customHeight="1" x14ac:dyDescent="0.25">
      <c r="A111" s="371" t="s">
        <v>618</v>
      </c>
      <c r="B111" s="414" t="str">
        <f>'ADA-2'!B$3:E$3</f>
        <v>Gestion communale</v>
      </c>
      <c r="C111" s="419" t="str">
        <f>'ADA-2'!$B$8</f>
        <v>Agriculteurs</v>
      </c>
      <c r="D111" s="133" t="str">
        <f>'ADA-2'!$B$9</f>
        <v>Concertation avec le monde agricole</v>
      </c>
      <c r="E111" s="133" t="str">
        <f>'ADA-2'!$B$4</f>
        <v>Agriculture</v>
      </c>
      <c r="F111" s="133" t="str">
        <f>'ADA-2'!$B$12</f>
        <v>AC MESSANCY</v>
      </c>
      <c r="G111" s="133" t="str">
        <f>'ADA-2'!$B$6</f>
        <v>Néant</v>
      </c>
      <c r="H111" s="134">
        <f>'ADA-2'!$B$17</f>
        <v>0</v>
      </c>
      <c r="I111" s="133" t="str">
        <f>'ADA-2'!$B$7</f>
        <v>Néant</v>
      </c>
      <c r="J111" s="134">
        <f>'ADA-2'!$B$18</f>
        <v>0</v>
      </c>
      <c r="K111" s="134">
        <f>'ADA-2'!$B$21</f>
        <v>1</v>
      </c>
      <c r="L111" s="134">
        <f>'ADA-2'!$B$22</f>
        <v>0</v>
      </c>
      <c r="M111" s="135">
        <f>'ADA-2'!$B$24</f>
        <v>0</v>
      </c>
      <c r="N111" s="135">
        <f>'ADA-2'!$B$19/1000</f>
        <v>0</v>
      </c>
      <c r="O111" s="136">
        <f t="shared" ref="O111:O125" si="108">IF(H111=0,0,N111/(H111-J111)*1000)</f>
        <v>0</v>
      </c>
      <c r="P111" s="137" t="str">
        <f>'ADA-2'!$B$5</f>
        <v>A faire</v>
      </c>
      <c r="Q111" s="140">
        <f>'ADA-2'!$B$16</f>
        <v>2025</v>
      </c>
      <c r="R111" s="284" t="str">
        <f t="shared" ref="R111:R125" si="109">IF(P111="terminé", N111,"")</f>
        <v/>
      </c>
      <c r="S111" s="138">
        <f t="shared" si="92"/>
        <v>0</v>
      </c>
      <c r="T111" s="138">
        <f t="shared" si="93"/>
        <v>0</v>
      </c>
      <c r="U111" s="138">
        <f t="shared" si="94"/>
        <v>0</v>
      </c>
      <c r="V111" s="138">
        <f t="shared" si="95"/>
        <v>0</v>
      </c>
      <c r="W111" s="138">
        <f t="shared" si="96"/>
        <v>0</v>
      </c>
      <c r="X111" s="138">
        <f t="shared" si="97"/>
        <v>0</v>
      </c>
      <c r="Y111" s="138">
        <f t="shared" si="98"/>
        <v>0</v>
      </c>
      <c r="AA111" s="287">
        <f>IF(('Synthèse PER'!P111="A faire")*AND('Synthèse PER'!F111="Agriculture"),'Synthèse PER'!H111,0)</f>
        <v>0</v>
      </c>
      <c r="AB111" s="287">
        <f>IF(('Synthèse PER'!P111="A faire")*AND('Synthèse PER'!F111="Industrie"),'Synthèse PER'!H111,0)</f>
        <v>0</v>
      </c>
      <c r="AC111" s="287">
        <f>IF(('Synthèse PER'!P111="A faire")*AND('Synthèse PER'!F111="Citoyen"),'Synthèse PER'!H111,0)</f>
        <v>0</v>
      </c>
      <c r="AD111" s="287">
        <f>IF(('Synthèse PER'!P111="A faire")*AND('Synthèse PER'!F111="IDELUX"),'Synthèse PER'!H111,0)</f>
        <v>0</v>
      </c>
      <c r="AE111" s="290">
        <f>IF(('Synthèse PER'!P111="A faire")*AND('Synthèse PER'!F111="AC MESSANCY"),'Synthèse PER'!H111,0)</f>
        <v>0</v>
      </c>
      <c r="AF111" s="287">
        <f>IF(('Synthèse PER'!P111="A faire")*AND('Synthèse PER'!F111="Tertiaire"),'Synthèse PER'!H111,0)</f>
        <v>0</v>
      </c>
      <c r="AG111" s="288"/>
      <c r="AH111" s="290">
        <f>IF(('Synthèse PER'!P111="A faire")*AND('Synthèse PER'!F111="Agriculture"),'Synthèse PER'!J111,0)</f>
        <v>0</v>
      </c>
      <c r="AI111" s="290">
        <f>IF(('Synthèse PER'!P111="A faire")*AND('Synthèse PER'!F111="Industrie"),'Synthèse PER'!J111,0)</f>
        <v>0</v>
      </c>
      <c r="AJ111" s="290">
        <f>IF(('Synthèse PER'!P111="A faire")*AND('Synthèse PER'!F111="Citoyen"),'Synthèse PER'!J111,0)</f>
        <v>0</v>
      </c>
      <c r="AK111" s="290">
        <f>IF(('Synthèse PER'!P111="A faire")*AND('Synthèse PER'!F111="IDELUX"),'Synthèse PER'!J111,0)</f>
        <v>0</v>
      </c>
      <c r="AL111" s="290">
        <f>IF(('Synthèse PER'!P111="A faire")*AND('Synthèse PER'!F111="AC MESSANCY"),'Synthèse PER'!J111,0)</f>
        <v>0</v>
      </c>
      <c r="AM111" s="290">
        <f>IF(('Synthèse PER'!P111="A faire")*AND('Synthèse PER'!F111="Tertiaire"),'Synthèse PER'!J111,0)</f>
        <v>0</v>
      </c>
      <c r="AN111" s="288"/>
      <c r="AO111" s="290">
        <f>IF(('Synthèse PER'!P111="A faire")*AND('Synthèse PER'!E111="Territoire"),'Synthèse PER'!H111,0)</f>
        <v>0</v>
      </c>
      <c r="AP111" s="290">
        <f>IF(('Synthèse PER'!P111="A faire")*AND('Synthèse PER'!E111="Agriculture"),'Synthèse PER'!H111,0)</f>
        <v>0</v>
      </c>
      <c r="AQ111" s="290">
        <f>IF(('Synthèse PER'!P111="A faire")*AND('Synthèse PER'!E111="Industrie"),'Synthèse PER'!H111,0)</f>
        <v>0</v>
      </c>
      <c r="AR111" s="290">
        <f>IF(('Synthèse PER'!P111="A faire")*AND('Synthèse PER'!E111="Logement"),'Synthèse PER'!H111,0)</f>
        <v>0</v>
      </c>
      <c r="AS111" s="290">
        <f>IF(('Synthèse PER'!P111="A faire")*AND('Synthèse PER'!E111="Tertiaire"),'Synthèse PER'!H111,0)</f>
        <v>0</v>
      </c>
      <c r="AT111" s="290">
        <f>IF(('Synthèse PER'!P111="A faire")*AND('Synthèse PER'!E111="Transport"),'Synthèse PER'!H111,0)</f>
        <v>0</v>
      </c>
      <c r="AU111" s="290">
        <f>IF(('Synthèse PER'!P111="A faire")*AND('Synthèse PER'!E111="Communal"),'Synthèse PER'!H111,0)</f>
        <v>0</v>
      </c>
      <c r="AV111" s="288"/>
      <c r="AW111" s="290">
        <f>IF(('Synthèse PER'!P111="A faire")*AND('Synthèse PER'!E111="Territoire"),'Synthèse PER'!J111,0)</f>
        <v>0</v>
      </c>
      <c r="AX111" s="290">
        <f>IF(('Synthèse PER'!P111="A faire")*AND('Synthèse PER'!E111="Agriculture"),'Synthèse PER'!J111,0)</f>
        <v>0</v>
      </c>
      <c r="AY111" s="290">
        <f>IF(('Synthèse PER'!P111="A faire")*AND('Synthèse PER'!E111="Industrie"),'Synthèse PER'!J111,0)</f>
        <v>0</v>
      </c>
      <c r="AZ111" s="290">
        <f>IF(('Synthèse PER'!P111="A faire")*AND('Synthèse PER'!E111="Logement"),'Synthèse PER'!J111,0)</f>
        <v>0</v>
      </c>
      <c r="BA111" s="290">
        <f>IF(('Synthèse PER'!P111="A faire")*AND('Synthèse PER'!E111="Tertiaire"),'Synthèse PER'!J111,0)</f>
        <v>0</v>
      </c>
      <c r="BB111" s="290">
        <f>IF(('Synthèse PER'!P111="A faire")*AND('Synthèse PER'!E111="Transport"),'Synthèse PER'!J111,0)</f>
        <v>0</v>
      </c>
      <c r="BC111" s="290">
        <f>IF(('Synthèse PER'!P111="A faire")*AND('Synthèse PER'!E111="Communal"),'Synthèse PER'!J111,0)</f>
        <v>0</v>
      </c>
      <c r="BD111" s="288"/>
      <c r="BE111" s="290">
        <f>IF(('Synthèse PER'!P111="A faire")*AND('Synthèse PER'!E111="Territoire"),'Synthèse PER'!K111,0)</f>
        <v>0</v>
      </c>
      <c r="BF111" s="290">
        <f>IF(('Synthèse PER'!P111="A faire")*AND('Synthèse PER'!E111="Agriculture"),'Synthèse PER'!K111,0)</f>
        <v>1</v>
      </c>
      <c r="BG111" s="290">
        <f>IF(('Synthèse PER'!P111="A faire")*AND('Synthèse PER'!E111="Industrie"),'Synthèse PER'!K111,0)</f>
        <v>0</v>
      </c>
      <c r="BH111" s="290">
        <f>IF(('Synthèse PER'!P111="A faire")*AND('Synthèse PER'!E111="Logement"),'Synthèse PER'!K111,0)</f>
        <v>0</v>
      </c>
      <c r="BI111" s="290">
        <f>IF(('Synthèse PER'!P111="A faire")*AND('Synthèse PER'!E111="Tertiaire"),'Synthèse PER'!K111,0)</f>
        <v>0</v>
      </c>
      <c r="BJ111" s="290">
        <f>IF(('Synthèse PER'!P111="A faire")*AND('Synthèse PER'!E111="Transport"),'Synthèse PER'!K111,0)</f>
        <v>0</v>
      </c>
      <c r="BK111" s="290">
        <f>IF(('Synthèse PER'!P111="A faire")*AND('Synthèse PER'!E111="Communal"),'Synthèse PER'!K111,0)</f>
        <v>0</v>
      </c>
      <c r="BL111" s="288"/>
      <c r="BM111" s="290">
        <f>IF(('Synthèse PER'!P111="A faire")*AND('Synthèse PER'!E111="Territoire"),'Synthèse PER'!L111,0)</f>
        <v>0</v>
      </c>
      <c r="BN111" s="290">
        <f>IF(('Synthèse PER'!P111="A faire")*AND('Synthèse PER'!E111="Agriculture"),'Synthèse PER'!L111,0)</f>
        <v>0</v>
      </c>
      <c r="BO111" s="290">
        <f>IF(('Synthèse PER'!P111="A faire")*AND('Synthèse PER'!E111="Industrie"),'Synthèse PER'!L111,0)</f>
        <v>0</v>
      </c>
      <c r="BP111" s="290">
        <f>IF(('Synthèse PER'!P111="A faire")*AND('Synthèse PER'!E111="Logement"),'Synthèse PER'!L111,0)</f>
        <v>0</v>
      </c>
      <c r="BQ111" s="290">
        <f>IF(('Synthèse PER'!P111="A faire")*AND('Synthèse PER'!E111="Tertiaire"),'Synthèse PER'!L111,0)</f>
        <v>0</v>
      </c>
      <c r="BR111" s="290">
        <f>IF(('Synthèse PER'!P111="A faire")*AND('Synthèse PER'!E111="Transport"),'Synthèse PER'!L111,0)</f>
        <v>0</v>
      </c>
      <c r="BS111" s="290">
        <f>IF(('Synthèse PER'!P111="A faire")*AND('Synthèse PER'!E111="Communal"),'Synthèse PER'!L111,0)</f>
        <v>0</v>
      </c>
      <c r="BT111" s="290">
        <f>IF(('Synthèse PER'!Q111="A faire")*AND('Synthèse PER'!F111="Communal"),'Synthèse PER'!M111,0)</f>
        <v>0</v>
      </c>
    </row>
    <row r="112" spans="1:72" s="139" customFormat="1" ht="15" customHeight="1" x14ac:dyDescent="0.25">
      <c r="A112" s="371" t="s">
        <v>619</v>
      </c>
      <c r="B112" s="414" t="str">
        <f>'ADA-3'!B$3:E$3</f>
        <v>Gestion communale</v>
      </c>
      <c r="C112" s="419" t="str">
        <f>'ADA-3'!$B$8</f>
        <v>Bâtiments</v>
      </c>
      <c r="D112" s="133" t="str">
        <f>'ADA-3'!$B$9</f>
        <v>Protection des bâtiments contre les inondations</v>
      </c>
      <c r="E112" s="133" t="str">
        <f>'ADA-3'!$B$4</f>
        <v>Territoire</v>
      </c>
      <c r="F112" s="133" t="str">
        <f>'ADA-3'!$B$12</f>
        <v>AC MESSANCY</v>
      </c>
      <c r="G112" s="133" t="str">
        <f>'ADA-3'!$B$6</f>
        <v>Néant</v>
      </c>
      <c r="H112" s="134">
        <f>'ADA-3'!$B$17</f>
        <v>50000</v>
      </c>
      <c r="I112" s="133" t="str">
        <f>'ADA-3'!$B$7</f>
        <v>Néant</v>
      </c>
      <c r="J112" s="134">
        <f>'ADA-3'!$B$18</f>
        <v>0</v>
      </c>
      <c r="K112" s="134">
        <f>'ADA-3'!$B$21</f>
        <v>1</v>
      </c>
      <c r="L112" s="134">
        <f>'ADA-3'!$B$22</f>
        <v>0</v>
      </c>
      <c r="M112" s="135">
        <f>'ADA-3'!$B$24</f>
        <v>50000</v>
      </c>
      <c r="N112" s="135">
        <f>'ADA-3'!$B$19/1000</f>
        <v>0</v>
      </c>
      <c r="O112" s="136">
        <f t="shared" si="108"/>
        <v>0</v>
      </c>
      <c r="P112" s="137" t="str">
        <f>'ADA-3'!$B$5</f>
        <v>Terminé</v>
      </c>
      <c r="Q112" s="140">
        <f>'ADA-3'!$B$16</f>
        <v>2018</v>
      </c>
      <c r="R112" s="284">
        <f t="shared" si="109"/>
        <v>0</v>
      </c>
      <c r="S112" s="138">
        <f t="shared" si="92"/>
        <v>0</v>
      </c>
      <c r="T112" s="138">
        <f t="shared" si="93"/>
        <v>0</v>
      </c>
      <c r="U112" s="138">
        <f t="shared" si="94"/>
        <v>0</v>
      </c>
      <c r="V112" s="138">
        <f t="shared" si="95"/>
        <v>0</v>
      </c>
      <c r="W112" s="138">
        <f t="shared" si="96"/>
        <v>0</v>
      </c>
      <c r="X112" s="138">
        <f t="shared" si="97"/>
        <v>0</v>
      </c>
      <c r="Y112" s="138">
        <f t="shared" si="98"/>
        <v>0</v>
      </c>
      <c r="AA112" s="287">
        <f>IF(('Synthèse PER'!P112="A faire")*AND('Synthèse PER'!F112="Agriculture"),'Synthèse PER'!H112,0)</f>
        <v>0</v>
      </c>
      <c r="AB112" s="287">
        <f>IF(('Synthèse PER'!P112="A faire")*AND('Synthèse PER'!F112="Industrie"),'Synthèse PER'!H112,0)</f>
        <v>0</v>
      </c>
      <c r="AC112" s="287">
        <f>IF(('Synthèse PER'!P112="A faire")*AND('Synthèse PER'!F112="Citoyen"),'Synthèse PER'!H112,0)</f>
        <v>0</v>
      </c>
      <c r="AD112" s="287">
        <f>IF(('Synthèse PER'!P112="A faire")*AND('Synthèse PER'!F112="IDELUX"),'Synthèse PER'!H112,0)</f>
        <v>0</v>
      </c>
      <c r="AE112" s="290">
        <f>IF(('Synthèse PER'!P112="A faire")*AND('Synthèse PER'!F112="AC MESSANCY"),'Synthèse PER'!H112,0)</f>
        <v>0</v>
      </c>
      <c r="AF112" s="287">
        <f>IF(('Synthèse PER'!P112="A faire")*AND('Synthèse PER'!F112="Tertiaire"),'Synthèse PER'!H112,0)</f>
        <v>0</v>
      </c>
      <c r="AG112" s="288"/>
      <c r="AH112" s="290">
        <f>IF(('Synthèse PER'!P112="A faire")*AND('Synthèse PER'!F112="Agriculture"),'Synthèse PER'!J112,0)</f>
        <v>0</v>
      </c>
      <c r="AI112" s="290">
        <f>IF(('Synthèse PER'!P112="A faire")*AND('Synthèse PER'!F112="Industrie"),'Synthèse PER'!J112,0)</f>
        <v>0</v>
      </c>
      <c r="AJ112" s="290">
        <f>IF(('Synthèse PER'!P112="A faire")*AND('Synthèse PER'!F112="Citoyen"),'Synthèse PER'!J112,0)</f>
        <v>0</v>
      </c>
      <c r="AK112" s="290">
        <f>IF(('Synthèse PER'!P112="A faire")*AND('Synthèse PER'!F112="IDELUX"),'Synthèse PER'!J112,0)</f>
        <v>0</v>
      </c>
      <c r="AL112" s="290">
        <f>IF(('Synthèse PER'!P112="A faire")*AND('Synthèse PER'!F112="AC MESSANCY"),'Synthèse PER'!J112,0)</f>
        <v>0</v>
      </c>
      <c r="AM112" s="290">
        <f>IF(('Synthèse PER'!P112="A faire")*AND('Synthèse PER'!F112="Tertiaire"),'Synthèse PER'!J112,0)</f>
        <v>0</v>
      </c>
      <c r="AN112" s="288"/>
      <c r="AO112" s="290">
        <f>IF(('Synthèse PER'!P112="A faire")*AND('Synthèse PER'!E112="Territoire"),'Synthèse PER'!H112,0)</f>
        <v>0</v>
      </c>
      <c r="AP112" s="290">
        <f>IF(('Synthèse PER'!P112="A faire")*AND('Synthèse PER'!E112="Agriculture"),'Synthèse PER'!H112,0)</f>
        <v>0</v>
      </c>
      <c r="AQ112" s="290">
        <f>IF(('Synthèse PER'!P112="A faire")*AND('Synthèse PER'!E112="Industrie"),'Synthèse PER'!H112,0)</f>
        <v>0</v>
      </c>
      <c r="AR112" s="290">
        <f>IF(('Synthèse PER'!P112="A faire")*AND('Synthèse PER'!E112="Logement"),'Synthèse PER'!H112,0)</f>
        <v>0</v>
      </c>
      <c r="AS112" s="290">
        <f>IF(('Synthèse PER'!P112="A faire")*AND('Synthèse PER'!E112="Tertiaire"),'Synthèse PER'!H112,0)</f>
        <v>0</v>
      </c>
      <c r="AT112" s="290">
        <f>IF(('Synthèse PER'!P112="A faire")*AND('Synthèse PER'!E112="Transport"),'Synthèse PER'!H112,0)</f>
        <v>0</v>
      </c>
      <c r="AU112" s="290">
        <f>IF(('Synthèse PER'!P112="A faire")*AND('Synthèse PER'!E112="Communal"),'Synthèse PER'!H112,0)</f>
        <v>0</v>
      </c>
      <c r="AV112" s="288"/>
      <c r="AW112" s="290">
        <f>IF(('Synthèse PER'!P112="A faire")*AND('Synthèse PER'!E112="Territoire"),'Synthèse PER'!J112,0)</f>
        <v>0</v>
      </c>
      <c r="AX112" s="290">
        <f>IF(('Synthèse PER'!P112="A faire")*AND('Synthèse PER'!E112="Agriculture"),'Synthèse PER'!J112,0)</f>
        <v>0</v>
      </c>
      <c r="AY112" s="290">
        <f>IF(('Synthèse PER'!P112="A faire")*AND('Synthèse PER'!E112="Industrie"),'Synthèse PER'!J112,0)</f>
        <v>0</v>
      </c>
      <c r="AZ112" s="290">
        <f>IF(('Synthèse PER'!P112="A faire")*AND('Synthèse PER'!E112="Logement"),'Synthèse PER'!J112,0)</f>
        <v>0</v>
      </c>
      <c r="BA112" s="290">
        <f>IF(('Synthèse PER'!P112="A faire")*AND('Synthèse PER'!E112="Tertiaire"),'Synthèse PER'!J112,0)</f>
        <v>0</v>
      </c>
      <c r="BB112" s="290">
        <f>IF(('Synthèse PER'!P112="A faire")*AND('Synthèse PER'!E112="Transport"),'Synthèse PER'!J112,0)</f>
        <v>0</v>
      </c>
      <c r="BC112" s="290">
        <f>IF(('Synthèse PER'!P112="A faire")*AND('Synthèse PER'!E112="Communal"),'Synthèse PER'!J112,0)</f>
        <v>0</v>
      </c>
      <c r="BD112" s="288"/>
      <c r="BE112" s="290">
        <f>IF(('Synthèse PER'!P112="A faire")*AND('Synthèse PER'!E112="Territoire"),'Synthèse PER'!K112,0)</f>
        <v>0</v>
      </c>
      <c r="BF112" s="290">
        <f>IF(('Synthèse PER'!P112="A faire")*AND('Synthèse PER'!E112="Agriculture"),'Synthèse PER'!K112,0)</f>
        <v>0</v>
      </c>
      <c r="BG112" s="290">
        <f>IF(('Synthèse PER'!P112="A faire")*AND('Synthèse PER'!E112="Industrie"),'Synthèse PER'!K112,0)</f>
        <v>0</v>
      </c>
      <c r="BH112" s="290">
        <f>IF(('Synthèse PER'!P112="A faire")*AND('Synthèse PER'!E112="Logement"),'Synthèse PER'!K112,0)</f>
        <v>0</v>
      </c>
      <c r="BI112" s="290">
        <f>IF(('Synthèse PER'!P112="A faire")*AND('Synthèse PER'!E112="Tertiaire"),'Synthèse PER'!K112,0)</f>
        <v>0</v>
      </c>
      <c r="BJ112" s="290">
        <f>IF(('Synthèse PER'!P112="A faire")*AND('Synthèse PER'!E112="Transport"),'Synthèse PER'!K112,0)</f>
        <v>0</v>
      </c>
      <c r="BK112" s="290">
        <f>IF(('Synthèse PER'!P112="A faire")*AND('Synthèse PER'!E112="Communal"),'Synthèse PER'!K112,0)</f>
        <v>0</v>
      </c>
      <c r="BL112" s="288"/>
      <c r="BM112" s="290">
        <f>IF(('Synthèse PER'!P112="A faire")*AND('Synthèse PER'!E112="Territoire"),'Synthèse PER'!L112,0)</f>
        <v>0</v>
      </c>
      <c r="BN112" s="290">
        <f>IF(('Synthèse PER'!P112="A faire")*AND('Synthèse PER'!E112="Agriculture"),'Synthèse PER'!L112,0)</f>
        <v>0</v>
      </c>
      <c r="BO112" s="290">
        <f>IF(('Synthèse PER'!P112="A faire")*AND('Synthèse PER'!E112="Industrie"),'Synthèse PER'!L112,0)</f>
        <v>0</v>
      </c>
      <c r="BP112" s="290">
        <f>IF(('Synthèse PER'!P112="A faire")*AND('Synthèse PER'!E112="Logement"),'Synthèse PER'!L112,0)</f>
        <v>0</v>
      </c>
      <c r="BQ112" s="290">
        <f>IF(('Synthèse PER'!P112="A faire")*AND('Synthèse PER'!E112="Tertiaire"),'Synthèse PER'!L112,0)</f>
        <v>0</v>
      </c>
      <c r="BR112" s="290">
        <f>IF(('Synthèse PER'!P112="A faire")*AND('Synthèse PER'!E112="Transport"),'Synthèse PER'!L112,0)</f>
        <v>0</v>
      </c>
      <c r="BS112" s="290">
        <f>IF(('Synthèse PER'!P112="A faire")*AND('Synthèse PER'!E112="Communal"),'Synthèse PER'!L112,0)</f>
        <v>0</v>
      </c>
      <c r="BT112" s="290">
        <f>IF(('Synthèse PER'!Q112="A faire")*AND('Synthèse PER'!F112="Communal"),'Synthèse PER'!M112,0)</f>
        <v>0</v>
      </c>
    </row>
    <row r="113" spans="1:82" s="139" customFormat="1" ht="15" customHeight="1" x14ac:dyDescent="0.25">
      <c r="A113" s="371" t="s">
        <v>620</v>
      </c>
      <c r="B113" s="414" t="str">
        <f>'ADA-4'!B$3:E$3</f>
        <v>Gestion communale</v>
      </c>
      <c r="C113" s="419" t="str">
        <f>'ADA-4'!$B$8</f>
        <v>Lieux publics</v>
      </c>
      <c r="D113" s="133" t="str">
        <f>'ADA-4'!$B$9</f>
        <v>Protection des lieux publics contre les inondations</v>
      </c>
      <c r="E113" s="133" t="str">
        <f>'ADA-4'!$B$4</f>
        <v>Territoire</v>
      </c>
      <c r="F113" s="133" t="str">
        <f>'ADA-4'!$B$12</f>
        <v>AC MESSANCY</v>
      </c>
      <c r="G113" s="133" t="str">
        <f>'ADA-4'!$B$6</f>
        <v>Néant</v>
      </c>
      <c r="H113" s="134">
        <f>'ADA-4'!$B$17</f>
        <v>18000</v>
      </c>
      <c r="I113" s="133" t="str">
        <f>'ADA-4'!$B$7</f>
        <v>Néant</v>
      </c>
      <c r="J113" s="134">
        <f>'ADA-4'!$B$18</f>
        <v>0</v>
      </c>
      <c r="K113" s="134">
        <f>'ADA-4'!$B$21</f>
        <v>1</v>
      </c>
      <c r="L113" s="134">
        <f>'ADA-4'!$B$22</f>
        <v>0</v>
      </c>
      <c r="M113" s="135">
        <f>'ADA-4'!$B$24</f>
        <v>18000</v>
      </c>
      <c r="N113" s="135">
        <f>'ADA-4'!$B$19/1000</f>
        <v>0</v>
      </c>
      <c r="O113" s="136">
        <f t="shared" si="108"/>
        <v>0</v>
      </c>
      <c r="P113" s="137" t="str">
        <f>'ADA-4'!$B$5</f>
        <v>Terminé</v>
      </c>
      <c r="Q113" s="140">
        <f>'ADA-4'!$B$16</f>
        <v>2018</v>
      </c>
      <c r="R113" s="284">
        <f t="shared" si="109"/>
        <v>0</v>
      </c>
      <c r="S113" s="138">
        <f t="shared" si="92"/>
        <v>0</v>
      </c>
      <c r="T113" s="138">
        <f t="shared" si="93"/>
        <v>0</v>
      </c>
      <c r="U113" s="138">
        <f t="shared" si="94"/>
        <v>0</v>
      </c>
      <c r="V113" s="138">
        <f t="shared" si="95"/>
        <v>0</v>
      </c>
      <c r="W113" s="138">
        <f t="shared" si="96"/>
        <v>0</v>
      </c>
      <c r="X113" s="138">
        <f t="shared" si="97"/>
        <v>0</v>
      </c>
      <c r="Y113" s="138">
        <f t="shared" si="98"/>
        <v>0</v>
      </c>
      <c r="AA113" s="287">
        <f>IF(('Synthèse PER'!P113="A faire")*AND('Synthèse PER'!F113="Agriculture"),'Synthèse PER'!H113,0)</f>
        <v>0</v>
      </c>
      <c r="AB113" s="287">
        <f>IF(('Synthèse PER'!P113="A faire")*AND('Synthèse PER'!F113="Industrie"),'Synthèse PER'!H113,0)</f>
        <v>0</v>
      </c>
      <c r="AC113" s="287">
        <f>IF(('Synthèse PER'!P113="A faire")*AND('Synthèse PER'!F113="Citoyen"),'Synthèse PER'!H113,0)</f>
        <v>0</v>
      </c>
      <c r="AD113" s="287">
        <f>IF(('Synthèse PER'!P113="A faire")*AND('Synthèse PER'!F113="IDELUX"),'Synthèse PER'!H113,0)</f>
        <v>0</v>
      </c>
      <c r="AE113" s="290">
        <f>IF(('Synthèse PER'!P113="A faire")*AND('Synthèse PER'!F113="AC MESSANCY"),'Synthèse PER'!H113,0)</f>
        <v>0</v>
      </c>
      <c r="AF113" s="287">
        <f>IF(('Synthèse PER'!P113="A faire")*AND('Synthèse PER'!F113="Tertiaire"),'Synthèse PER'!H113,0)</f>
        <v>0</v>
      </c>
      <c r="AG113" s="288"/>
      <c r="AH113" s="290">
        <f>IF(('Synthèse PER'!P113="A faire")*AND('Synthèse PER'!F113="Agriculture"),'Synthèse PER'!J113,0)</f>
        <v>0</v>
      </c>
      <c r="AI113" s="290">
        <f>IF(('Synthèse PER'!P113="A faire")*AND('Synthèse PER'!F113="Industrie"),'Synthèse PER'!J113,0)</f>
        <v>0</v>
      </c>
      <c r="AJ113" s="290">
        <f>IF(('Synthèse PER'!P113="A faire")*AND('Synthèse PER'!F113="Citoyen"),'Synthèse PER'!J113,0)</f>
        <v>0</v>
      </c>
      <c r="AK113" s="290">
        <f>IF(('Synthèse PER'!P113="A faire")*AND('Synthèse PER'!F113="IDELUX"),'Synthèse PER'!J113,0)</f>
        <v>0</v>
      </c>
      <c r="AL113" s="290">
        <f>IF(('Synthèse PER'!P113="A faire")*AND('Synthèse PER'!F113="AC MESSANCY"),'Synthèse PER'!J113,0)</f>
        <v>0</v>
      </c>
      <c r="AM113" s="290">
        <f>IF(('Synthèse PER'!P113="A faire")*AND('Synthèse PER'!F113="Tertiaire"),'Synthèse PER'!J113,0)</f>
        <v>0</v>
      </c>
      <c r="AN113" s="288"/>
      <c r="AO113" s="290">
        <f>IF(('Synthèse PER'!P113="A faire")*AND('Synthèse PER'!E113="Territoire"),'Synthèse PER'!H113,0)</f>
        <v>0</v>
      </c>
      <c r="AP113" s="290">
        <f>IF(('Synthèse PER'!P113="A faire")*AND('Synthèse PER'!E113="Agriculture"),'Synthèse PER'!H113,0)</f>
        <v>0</v>
      </c>
      <c r="AQ113" s="290">
        <f>IF(('Synthèse PER'!P113="A faire")*AND('Synthèse PER'!E113="Industrie"),'Synthèse PER'!H113,0)</f>
        <v>0</v>
      </c>
      <c r="AR113" s="290">
        <f>IF(('Synthèse PER'!P113="A faire")*AND('Synthèse PER'!E113="Logement"),'Synthèse PER'!H113,0)</f>
        <v>0</v>
      </c>
      <c r="AS113" s="290">
        <f>IF(('Synthèse PER'!P113="A faire")*AND('Synthèse PER'!E113="Tertiaire"),'Synthèse PER'!H113,0)</f>
        <v>0</v>
      </c>
      <c r="AT113" s="290">
        <f>IF(('Synthèse PER'!P113="A faire")*AND('Synthèse PER'!E113="Transport"),'Synthèse PER'!H113,0)</f>
        <v>0</v>
      </c>
      <c r="AU113" s="290">
        <f>IF(('Synthèse PER'!P113="A faire")*AND('Synthèse PER'!E113="Communal"),'Synthèse PER'!H113,0)</f>
        <v>0</v>
      </c>
      <c r="AV113" s="288"/>
      <c r="AW113" s="290">
        <f>IF(('Synthèse PER'!P113="A faire")*AND('Synthèse PER'!E113="Territoire"),'Synthèse PER'!J113,0)</f>
        <v>0</v>
      </c>
      <c r="AX113" s="290">
        <f>IF(('Synthèse PER'!P113="A faire")*AND('Synthèse PER'!E113="Agriculture"),'Synthèse PER'!J113,0)</f>
        <v>0</v>
      </c>
      <c r="AY113" s="290">
        <f>IF(('Synthèse PER'!P113="A faire")*AND('Synthèse PER'!E113="Industrie"),'Synthèse PER'!J113,0)</f>
        <v>0</v>
      </c>
      <c r="AZ113" s="290">
        <f>IF(('Synthèse PER'!P113="A faire")*AND('Synthèse PER'!E113="Logement"),'Synthèse PER'!J113,0)</f>
        <v>0</v>
      </c>
      <c r="BA113" s="290">
        <f>IF(('Synthèse PER'!P113="A faire")*AND('Synthèse PER'!E113="Tertiaire"),'Synthèse PER'!J113,0)</f>
        <v>0</v>
      </c>
      <c r="BB113" s="290">
        <f>IF(('Synthèse PER'!P113="A faire")*AND('Synthèse PER'!E113="Transport"),'Synthèse PER'!J113,0)</f>
        <v>0</v>
      </c>
      <c r="BC113" s="290">
        <f>IF(('Synthèse PER'!P113="A faire")*AND('Synthèse PER'!E113="Communal"),'Synthèse PER'!J113,0)</f>
        <v>0</v>
      </c>
      <c r="BD113" s="288"/>
      <c r="BE113" s="290">
        <f>IF(('Synthèse PER'!P113="A faire")*AND('Synthèse PER'!E113="Territoire"),'Synthèse PER'!K113,0)</f>
        <v>0</v>
      </c>
      <c r="BF113" s="290">
        <f>IF(('Synthèse PER'!P113="A faire")*AND('Synthèse PER'!E113="Agriculture"),'Synthèse PER'!K113,0)</f>
        <v>0</v>
      </c>
      <c r="BG113" s="290">
        <f>IF(('Synthèse PER'!P113="A faire")*AND('Synthèse PER'!E113="Industrie"),'Synthèse PER'!K113,0)</f>
        <v>0</v>
      </c>
      <c r="BH113" s="290">
        <f>IF(('Synthèse PER'!P113="A faire")*AND('Synthèse PER'!E113="Logement"),'Synthèse PER'!K113,0)</f>
        <v>0</v>
      </c>
      <c r="BI113" s="290">
        <f>IF(('Synthèse PER'!P113="A faire")*AND('Synthèse PER'!E113="Tertiaire"),'Synthèse PER'!K113,0)</f>
        <v>0</v>
      </c>
      <c r="BJ113" s="290">
        <f>IF(('Synthèse PER'!P113="A faire")*AND('Synthèse PER'!E113="Transport"),'Synthèse PER'!K113,0)</f>
        <v>0</v>
      </c>
      <c r="BK113" s="290">
        <f>IF(('Synthèse PER'!P113="A faire")*AND('Synthèse PER'!E113="Communal"),'Synthèse PER'!K113,0)</f>
        <v>0</v>
      </c>
      <c r="BL113" s="288"/>
      <c r="BM113" s="290">
        <f>IF(('Synthèse PER'!P113="A faire")*AND('Synthèse PER'!E113="Territoire"),'Synthèse PER'!L113,0)</f>
        <v>0</v>
      </c>
      <c r="BN113" s="290">
        <f>IF(('Synthèse PER'!P113="A faire")*AND('Synthèse PER'!E113="Agriculture"),'Synthèse PER'!L113,0)</f>
        <v>0</v>
      </c>
      <c r="BO113" s="290">
        <f>IF(('Synthèse PER'!P113="A faire")*AND('Synthèse PER'!E113="Industrie"),'Synthèse PER'!L113,0)</f>
        <v>0</v>
      </c>
      <c r="BP113" s="290">
        <f>IF(('Synthèse PER'!P113="A faire")*AND('Synthèse PER'!E113="Logement"),'Synthèse PER'!L113,0)</f>
        <v>0</v>
      </c>
      <c r="BQ113" s="290">
        <f>IF(('Synthèse PER'!P113="A faire")*AND('Synthèse PER'!E113="Tertiaire"),'Synthèse PER'!L113,0)</f>
        <v>0</v>
      </c>
      <c r="BR113" s="290">
        <f>IF(('Synthèse PER'!P113="A faire")*AND('Synthèse PER'!E113="Transport"),'Synthèse PER'!L113,0)</f>
        <v>0</v>
      </c>
      <c r="BS113" s="290">
        <f>IF(('Synthèse PER'!P113="A faire")*AND('Synthèse PER'!E113="Communal"),'Synthèse PER'!L113,0)</f>
        <v>0</v>
      </c>
      <c r="BT113" s="290">
        <f>IF(('Synthèse PER'!Q113="A faire")*AND('Synthèse PER'!F113="Communal"),'Synthèse PER'!M113,0)</f>
        <v>0</v>
      </c>
    </row>
    <row r="114" spans="1:82" s="139" customFormat="1" ht="15" customHeight="1" x14ac:dyDescent="0.25">
      <c r="A114" s="371" t="s">
        <v>621</v>
      </c>
      <c r="B114" s="414" t="str">
        <f>'ADA-5'!B$3:E$3</f>
        <v>Gestion communale</v>
      </c>
      <c r="C114" s="419" t="str">
        <f>'ADA-5'!$B$8</f>
        <v>Eaux pluviales</v>
      </c>
      <c r="D114" s="133" t="str">
        <f>'ADA-5'!$B$9</f>
        <v>Récupération des eaux pluviales</v>
      </c>
      <c r="E114" s="133" t="str">
        <f>'ADA-5'!$B$4</f>
        <v>Territoire</v>
      </c>
      <c r="F114" s="133" t="str">
        <f>'ADA-5'!$B$12</f>
        <v>IDELUX</v>
      </c>
      <c r="G114" s="133" t="str">
        <f>'ADA-5'!$B$6</f>
        <v>Néant</v>
      </c>
      <c r="H114" s="134">
        <f>'ADA-5'!$B$17</f>
        <v>200000</v>
      </c>
      <c r="I114" s="133" t="str">
        <f>'ADA-5'!$B$7</f>
        <v>Néant</v>
      </c>
      <c r="J114" s="134">
        <f>'ADA-5'!$B$18</f>
        <v>60000</v>
      </c>
      <c r="K114" s="134">
        <f>'ADA-5'!$B$21</f>
        <v>1</v>
      </c>
      <c r="L114" s="134">
        <f>'ADA-5'!$B$22</f>
        <v>0</v>
      </c>
      <c r="M114" s="135">
        <f>'ADA-5'!$B$24</f>
        <v>140000</v>
      </c>
      <c r="N114" s="135">
        <f>'ADA-5'!$B$19/1000</f>
        <v>0</v>
      </c>
      <c r="O114" s="136">
        <f t="shared" si="108"/>
        <v>0</v>
      </c>
      <c r="P114" s="137" t="str">
        <f>'ADA-5'!$B$5</f>
        <v>A faire</v>
      </c>
      <c r="Q114" s="140">
        <f>'ADA-5'!$B$16</f>
        <v>2025</v>
      </c>
      <c r="R114" s="284" t="str">
        <f t="shared" si="109"/>
        <v/>
      </c>
      <c r="S114" s="138">
        <f t="shared" si="92"/>
        <v>0</v>
      </c>
      <c r="T114" s="138">
        <f t="shared" si="93"/>
        <v>0</v>
      </c>
      <c r="U114" s="138">
        <f t="shared" si="94"/>
        <v>0</v>
      </c>
      <c r="V114" s="138">
        <f t="shared" si="95"/>
        <v>0</v>
      </c>
      <c r="W114" s="138">
        <f t="shared" si="96"/>
        <v>0</v>
      </c>
      <c r="X114" s="138">
        <f t="shared" si="97"/>
        <v>0</v>
      </c>
      <c r="Y114" s="138">
        <f t="shared" si="98"/>
        <v>0</v>
      </c>
      <c r="AA114" s="287">
        <f>IF(('Synthèse PER'!P114="A faire")*AND('Synthèse PER'!F114="Agriculture"),'Synthèse PER'!H114,0)</f>
        <v>0</v>
      </c>
      <c r="AB114" s="287">
        <f>IF(('Synthèse PER'!P114="A faire")*AND('Synthèse PER'!F114="Industrie"),'Synthèse PER'!H114,0)</f>
        <v>0</v>
      </c>
      <c r="AC114" s="287">
        <f>IF(('Synthèse PER'!P114="A faire")*AND('Synthèse PER'!F114="Citoyen"),'Synthèse PER'!H114,0)</f>
        <v>0</v>
      </c>
      <c r="AD114" s="287">
        <f>IF(('Synthèse PER'!P114="A faire")*AND('Synthèse PER'!F114="IDELUX"),'Synthèse PER'!H114,0)</f>
        <v>200000</v>
      </c>
      <c r="AE114" s="290">
        <f>IF(('Synthèse PER'!P114="A faire")*AND('Synthèse PER'!F114="AC MESSANCY"),'Synthèse PER'!H114,0)</f>
        <v>0</v>
      </c>
      <c r="AF114" s="287">
        <f>IF(('Synthèse PER'!P114="A faire")*AND('Synthèse PER'!F114="Tertiaire"),'Synthèse PER'!H114,0)</f>
        <v>0</v>
      </c>
      <c r="AG114" s="288"/>
      <c r="AH114" s="290">
        <f>IF(('Synthèse PER'!P114="A faire")*AND('Synthèse PER'!F114="Agriculture"),'Synthèse PER'!J114,0)</f>
        <v>0</v>
      </c>
      <c r="AI114" s="290">
        <f>IF(('Synthèse PER'!P114="A faire")*AND('Synthèse PER'!F114="Industrie"),'Synthèse PER'!J114,0)</f>
        <v>0</v>
      </c>
      <c r="AJ114" s="290">
        <f>IF(('Synthèse PER'!P114="A faire")*AND('Synthèse PER'!F114="Citoyen"),'Synthèse PER'!J114,0)</f>
        <v>0</v>
      </c>
      <c r="AK114" s="290">
        <f>IF(('Synthèse PER'!P114="A faire")*AND('Synthèse PER'!F114="IDELUX"),'Synthèse PER'!J114,0)</f>
        <v>60000</v>
      </c>
      <c r="AL114" s="290">
        <f>IF(('Synthèse PER'!P114="A faire")*AND('Synthèse PER'!F114="AC MESSANCY"),'Synthèse PER'!J114,0)</f>
        <v>0</v>
      </c>
      <c r="AM114" s="290">
        <f>IF(('Synthèse PER'!P114="A faire")*AND('Synthèse PER'!F114="Tertiaire"),'Synthèse PER'!J114,0)</f>
        <v>0</v>
      </c>
      <c r="AN114" s="288"/>
      <c r="AO114" s="290">
        <f>IF(('Synthèse PER'!P114="A faire")*AND('Synthèse PER'!E114="Territoire"),'Synthèse PER'!H114,0)</f>
        <v>200000</v>
      </c>
      <c r="AP114" s="290">
        <f>IF(('Synthèse PER'!P114="A faire")*AND('Synthèse PER'!E114="Agriculture"),'Synthèse PER'!H114,0)</f>
        <v>0</v>
      </c>
      <c r="AQ114" s="290">
        <f>IF(('Synthèse PER'!P114="A faire")*AND('Synthèse PER'!E114="Industrie"),'Synthèse PER'!H114,0)</f>
        <v>0</v>
      </c>
      <c r="AR114" s="290">
        <f>IF(('Synthèse PER'!P114="A faire")*AND('Synthèse PER'!E114="Logement"),'Synthèse PER'!H114,0)</f>
        <v>0</v>
      </c>
      <c r="AS114" s="290">
        <f>IF(('Synthèse PER'!P114="A faire")*AND('Synthèse PER'!E114="Tertiaire"),'Synthèse PER'!H114,0)</f>
        <v>0</v>
      </c>
      <c r="AT114" s="290">
        <f>IF(('Synthèse PER'!P114="A faire")*AND('Synthèse PER'!E114="Transport"),'Synthèse PER'!H114,0)</f>
        <v>0</v>
      </c>
      <c r="AU114" s="290">
        <f>IF(('Synthèse PER'!P114="A faire")*AND('Synthèse PER'!E114="Communal"),'Synthèse PER'!H114,0)</f>
        <v>0</v>
      </c>
      <c r="AV114" s="288"/>
      <c r="AW114" s="290">
        <f>IF(('Synthèse PER'!P114="A faire")*AND('Synthèse PER'!E114="Territoire"),'Synthèse PER'!J114,0)</f>
        <v>60000</v>
      </c>
      <c r="AX114" s="290">
        <f>IF(('Synthèse PER'!P114="A faire")*AND('Synthèse PER'!E114="Agriculture"),'Synthèse PER'!J114,0)</f>
        <v>0</v>
      </c>
      <c r="AY114" s="290">
        <f>IF(('Synthèse PER'!P114="A faire")*AND('Synthèse PER'!E114="Industrie"),'Synthèse PER'!J114,0)</f>
        <v>0</v>
      </c>
      <c r="AZ114" s="290">
        <f>IF(('Synthèse PER'!P114="A faire")*AND('Synthèse PER'!E114="Logement"),'Synthèse PER'!J114,0)</f>
        <v>0</v>
      </c>
      <c r="BA114" s="290">
        <f>IF(('Synthèse PER'!P114="A faire")*AND('Synthèse PER'!E114="Tertiaire"),'Synthèse PER'!J114,0)</f>
        <v>0</v>
      </c>
      <c r="BB114" s="290">
        <f>IF(('Synthèse PER'!P114="A faire")*AND('Synthèse PER'!E114="Transport"),'Synthèse PER'!J114,0)</f>
        <v>0</v>
      </c>
      <c r="BC114" s="290">
        <f>IF(('Synthèse PER'!P114="A faire")*AND('Synthèse PER'!E114="Communal"),'Synthèse PER'!J114,0)</f>
        <v>0</v>
      </c>
      <c r="BD114" s="288"/>
      <c r="BE114" s="290">
        <f>IF(('Synthèse PER'!P114="A faire")*AND('Synthèse PER'!E114="Territoire"),'Synthèse PER'!K114,0)</f>
        <v>1</v>
      </c>
      <c r="BF114" s="290">
        <f>IF(('Synthèse PER'!P114="A faire")*AND('Synthèse PER'!E114="Agriculture"),'Synthèse PER'!K114,0)</f>
        <v>0</v>
      </c>
      <c r="BG114" s="290">
        <f>IF(('Synthèse PER'!P114="A faire")*AND('Synthèse PER'!E114="Industrie"),'Synthèse PER'!K114,0)</f>
        <v>0</v>
      </c>
      <c r="BH114" s="290">
        <f>IF(('Synthèse PER'!P114="A faire")*AND('Synthèse PER'!E114="Logement"),'Synthèse PER'!K114,0)</f>
        <v>0</v>
      </c>
      <c r="BI114" s="290">
        <f>IF(('Synthèse PER'!P114="A faire")*AND('Synthèse PER'!E114="Tertiaire"),'Synthèse PER'!K114,0)</f>
        <v>0</v>
      </c>
      <c r="BJ114" s="290">
        <f>IF(('Synthèse PER'!P114="A faire")*AND('Synthèse PER'!E114="Transport"),'Synthèse PER'!K114,0)</f>
        <v>0</v>
      </c>
      <c r="BK114" s="290">
        <f>IF(('Synthèse PER'!P114="A faire")*AND('Synthèse PER'!E114="Communal"),'Synthèse PER'!K114,0)</f>
        <v>0</v>
      </c>
      <c r="BL114" s="288"/>
      <c r="BM114" s="290">
        <f>IF(('Synthèse PER'!P114="A faire")*AND('Synthèse PER'!E114="Territoire"),'Synthèse PER'!L114,0)</f>
        <v>0</v>
      </c>
      <c r="BN114" s="290">
        <f>IF(('Synthèse PER'!P114="A faire")*AND('Synthèse PER'!E114="Agriculture"),'Synthèse PER'!L114,0)</f>
        <v>0</v>
      </c>
      <c r="BO114" s="290">
        <f>IF(('Synthèse PER'!P114="A faire")*AND('Synthèse PER'!E114="Industrie"),'Synthèse PER'!L114,0)</f>
        <v>0</v>
      </c>
      <c r="BP114" s="290">
        <f>IF(('Synthèse PER'!P114="A faire")*AND('Synthèse PER'!E114="Logement"),'Synthèse PER'!L114,0)</f>
        <v>0</v>
      </c>
      <c r="BQ114" s="290">
        <f>IF(('Synthèse PER'!P114="A faire")*AND('Synthèse PER'!E114="Tertiaire"),'Synthèse PER'!L114,0)</f>
        <v>0</v>
      </c>
      <c r="BR114" s="290">
        <f>IF(('Synthèse PER'!P114="A faire")*AND('Synthèse PER'!E114="Transport"),'Synthèse PER'!L114,0)</f>
        <v>0</v>
      </c>
      <c r="BS114" s="290">
        <f>IF(('Synthèse PER'!P114="A faire")*AND('Synthèse PER'!E114="Communal"),'Synthèse PER'!L114,0)</f>
        <v>0</v>
      </c>
      <c r="BT114" s="290">
        <f>IF(('Synthèse PER'!Q114="A faire")*AND('Synthèse PER'!F114="Communal"),'Synthèse PER'!M114,0)</f>
        <v>0</v>
      </c>
    </row>
    <row r="115" spans="1:82" s="139" customFormat="1" ht="15" customHeight="1" x14ac:dyDescent="0.25">
      <c r="A115" s="371" t="s">
        <v>622</v>
      </c>
      <c r="B115" s="414" t="str">
        <f>'ADA-6'!B$3:E$3</f>
        <v>Gestion communale</v>
      </c>
      <c r="C115" s="419" t="str">
        <f>'ADA-6'!$B$8</f>
        <v>Eaux pluviales</v>
      </c>
      <c r="D115" s="133" t="str">
        <f>'ADA-6'!$B$9</f>
        <v>Gestion alternative des eaux pluviales</v>
      </c>
      <c r="E115" s="133" t="str">
        <f>'ADA-6'!$B$4</f>
        <v>Territoire</v>
      </c>
      <c r="F115" s="133" t="str">
        <f>'ADA-6'!$B$12</f>
        <v>AC MESSANCY</v>
      </c>
      <c r="G115" s="133" t="str">
        <f>'ADA-6'!$B$6</f>
        <v>Néant</v>
      </c>
      <c r="H115" s="134">
        <f>'ADA-6'!$B$17</f>
        <v>100000</v>
      </c>
      <c r="I115" s="133" t="str">
        <f>'ADA-6'!$B$7</f>
        <v>Néant</v>
      </c>
      <c r="J115" s="134">
        <f>'ADA-6'!$B$18</f>
        <v>30000</v>
      </c>
      <c r="K115" s="134">
        <f>'ADA-6'!$B$21</f>
        <v>1</v>
      </c>
      <c r="L115" s="134">
        <f>'ADA-6'!$B$22</f>
        <v>0</v>
      </c>
      <c r="M115" s="135">
        <f>'ADA-6'!$B$24</f>
        <v>70000</v>
      </c>
      <c r="N115" s="135">
        <f>'ADA-6'!$B$19/1000</f>
        <v>0</v>
      </c>
      <c r="O115" s="136">
        <f t="shared" si="108"/>
        <v>0</v>
      </c>
      <c r="P115" s="137" t="str">
        <f>'ADA-6'!$B$5</f>
        <v>Terminé</v>
      </c>
      <c r="Q115" s="140">
        <f>'ADA-6'!$B$16</f>
        <v>2018</v>
      </c>
      <c r="R115" s="284">
        <f t="shared" si="109"/>
        <v>0</v>
      </c>
      <c r="S115" s="138">
        <f t="shared" si="92"/>
        <v>0</v>
      </c>
      <c r="T115" s="138">
        <f t="shared" si="93"/>
        <v>0</v>
      </c>
      <c r="U115" s="138">
        <f t="shared" si="94"/>
        <v>0</v>
      </c>
      <c r="V115" s="138">
        <f t="shared" si="95"/>
        <v>0</v>
      </c>
      <c r="W115" s="138">
        <f t="shared" si="96"/>
        <v>0</v>
      </c>
      <c r="X115" s="138">
        <f t="shared" si="97"/>
        <v>0</v>
      </c>
      <c r="Y115" s="138">
        <f t="shared" si="98"/>
        <v>0</v>
      </c>
      <c r="AA115" s="287">
        <f>IF(('Synthèse PER'!P115="A faire")*AND('Synthèse PER'!F115="Agriculture"),'Synthèse PER'!H115,0)</f>
        <v>0</v>
      </c>
      <c r="AB115" s="287">
        <f>IF(('Synthèse PER'!P115="A faire")*AND('Synthèse PER'!F115="Industrie"),'Synthèse PER'!H115,0)</f>
        <v>0</v>
      </c>
      <c r="AC115" s="287">
        <f>IF(('Synthèse PER'!P115="A faire")*AND('Synthèse PER'!F115="Citoyen"),'Synthèse PER'!H115,0)</f>
        <v>0</v>
      </c>
      <c r="AD115" s="287">
        <f>IF(('Synthèse PER'!P115="A faire")*AND('Synthèse PER'!F115="IDELUX"),'Synthèse PER'!H115,0)</f>
        <v>0</v>
      </c>
      <c r="AE115" s="290">
        <f>IF(('Synthèse PER'!P115="A faire")*AND('Synthèse PER'!F115="AC MESSANCY"),'Synthèse PER'!H115,0)</f>
        <v>0</v>
      </c>
      <c r="AF115" s="287">
        <f>IF(('Synthèse PER'!P115="A faire")*AND('Synthèse PER'!F115="Tertiaire"),'Synthèse PER'!H115,0)</f>
        <v>0</v>
      </c>
      <c r="AG115" s="288"/>
      <c r="AH115" s="290">
        <f>IF(('Synthèse PER'!P115="A faire")*AND('Synthèse PER'!F115="Agriculture"),'Synthèse PER'!J115,0)</f>
        <v>0</v>
      </c>
      <c r="AI115" s="290">
        <f>IF(('Synthèse PER'!P115="A faire")*AND('Synthèse PER'!F115="Industrie"),'Synthèse PER'!J115,0)</f>
        <v>0</v>
      </c>
      <c r="AJ115" s="290">
        <f>IF(('Synthèse PER'!P115="A faire")*AND('Synthèse PER'!F115="Citoyen"),'Synthèse PER'!J115,0)</f>
        <v>0</v>
      </c>
      <c r="AK115" s="290">
        <f>IF(('Synthèse PER'!P115="A faire")*AND('Synthèse PER'!F115="IDELUX"),'Synthèse PER'!J115,0)</f>
        <v>0</v>
      </c>
      <c r="AL115" s="290">
        <f>IF(('Synthèse PER'!P115="A faire")*AND('Synthèse PER'!F115="AC MESSANCY"),'Synthèse PER'!J115,0)</f>
        <v>0</v>
      </c>
      <c r="AM115" s="290">
        <f>IF(('Synthèse PER'!P115="A faire")*AND('Synthèse PER'!F115="Tertiaire"),'Synthèse PER'!J115,0)</f>
        <v>0</v>
      </c>
      <c r="AN115" s="288"/>
      <c r="AO115" s="290">
        <f>IF(('Synthèse PER'!P115="A faire")*AND('Synthèse PER'!E115="Territoire"),'Synthèse PER'!H115,0)</f>
        <v>0</v>
      </c>
      <c r="AP115" s="290">
        <f>IF(('Synthèse PER'!P115="A faire")*AND('Synthèse PER'!E115="Agriculture"),'Synthèse PER'!H115,0)</f>
        <v>0</v>
      </c>
      <c r="AQ115" s="290">
        <f>IF(('Synthèse PER'!P115="A faire")*AND('Synthèse PER'!E115="Industrie"),'Synthèse PER'!H115,0)</f>
        <v>0</v>
      </c>
      <c r="AR115" s="290">
        <f>IF(('Synthèse PER'!P115="A faire")*AND('Synthèse PER'!E115="Logement"),'Synthèse PER'!H115,0)</f>
        <v>0</v>
      </c>
      <c r="AS115" s="290">
        <f>IF(('Synthèse PER'!P115="A faire")*AND('Synthèse PER'!E115="Tertiaire"),'Synthèse PER'!H115,0)</f>
        <v>0</v>
      </c>
      <c r="AT115" s="290">
        <f>IF(('Synthèse PER'!P115="A faire")*AND('Synthèse PER'!E115="Transport"),'Synthèse PER'!H115,0)</f>
        <v>0</v>
      </c>
      <c r="AU115" s="290">
        <f>IF(('Synthèse PER'!P115="A faire")*AND('Synthèse PER'!E115="Communal"),'Synthèse PER'!H115,0)</f>
        <v>0</v>
      </c>
      <c r="AV115" s="288"/>
      <c r="AW115" s="290">
        <f>IF(('Synthèse PER'!P115="A faire")*AND('Synthèse PER'!E115="Territoire"),'Synthèse PER'!J115,0)</f>
        <v>0</v>
      </c>
      <c r="AX115" s="290">
        <f>IF(('Synthèse PER'!P115="A faire")*AND('Synthèse PER'!E115="Agriculture"),'Synthèse PER'!J115,0)</f>
        <v>0</v>
      </c>
      <c r="AY115" s="290">
        <f>IF(('Synthèse PER'!P115="A faire")*AND('Synthèse PER'!E115="Industrie"),'Synthèse PER'!J115,0)</f>
        <v>0</v>
      </c>
      <c r="AZ115" s="290">
        <f>IF(('Synthèse PER'!P115="A faire")*AND('Synthèse PER'!E115="Logement"),'Synthèse PER'!J115,0)</f>
        <v>0</v>
      </c>
      <c r="BA115" s="290">
        <f>IF(('Synthèse PER'!P115="A faire")*AND('Synthèse PER'!E115="Tertiaire"),'Synthèse PER'!J115,0)</f>
        <v>0</v>
      </c>
      <c r="BB115" s="290">
        <f>IF(('Synthèse PER'!P115="A faire")*AND('Synthèse PER'!E115="Transport"),'Synthèse PER'!J115,0)</f>
        <v>0</v>
      </c>
      <c r="BC115" s="290">
        <f>IF(('Synthèse PER'!P115="A faire")*AND('Synthèse PER'!E115="Communal"),'Synthèse PER'!J115,0)</f>
        <v>0</v>
      </c>
      <c r="BD115" s="288"/>
      <c r="BE115" s="290">
        <f>IF(('Synthèse PER'!P115="A faire")*AND('Synthèse PER'!E115="Territoire"),'Synthèse PER'!K115,0)</f>
        <v>0</v>
      </c>
      <c r="BF115" s="290">
        <f>IF(('Synthèse PER'!P115="A faire")*AND('Synthèse PER'!E115="Agriculture"),'Synthèse PER'!K115,0)</f>
        <v>0</v>
      </c>
      <c r="BG115" s="290">
        <f>IF(('Synthèse PER'!P115="A faire")*AND('Synthèse PER'!E115="Industrie"),'Synthèse PER'!K115,0)</f>
        <v>0</v>
      </c>
      <c r="BH115" s="290">
        <f>IF(('Synthèse PER'!P115="A faire")*AND('Synthèse PER'!E115="Logement"),'Synthèse PER'!K115,0)</f>
        <v>0</v>
      </c>
      <c r="BI115" s="290">
        <f>IF(('Synthèse PER'!P115="A faire")*AND('Synthèse PER'!E115="Tertiaire"),'Synthèse PER'!K115,0)</f>
        <v>0</v>
      </c>
      <c r="BJ115" s="290">
        <f>IF(('Synthèse PER'!P115="A faire")*AND('Synthèse PER'!E115="Transport"),'Synthèse PER'!K115,0)</f>
        <v>0</v>
      </c>
      <c r="BK115" s="290">
        <f>IF(('Synthèse PER'!P115="A faire")*AND('Synthèse PER'!E115="Communal"),'Synthèse PER'!K115,0)</f>
        <v>0</v>
      </c>
      <c r="BL115" s="288"/>
      <c r="BM115" s="290">
        <f>IF(('Synthèse PER'!P115="A faire")*AND('Synthèse PER'!E115="Territoire"),'Synthèse PER'!L115,0)</f>
        <v>0</v>
      </c>
      <c r="BN115" s="290">
        <f>IF(('Synthèse PER'!P115="A faire")*AND('Synthèse PER'!E115="Agriculture"),'Synthèse PER'!L115,0)</f>
        <v>0</v>
      </c>
      <c r="BO115" s="290">
        <f>IF(('Synthèse PER'!P115="A faire")*AND('Synthèse PER'!E115="Industrie"),'Synthèse PER'!L115,0)</f>
        <v>0</v>
      </c>
      <c r="BP115" s="290">
        <f>IF(('Synthèse PER'!P115="A faire")*AND('Synthèse PER'!E115="Logement"),'Synthèse PER'!L115,0)</f>
        <v>0</v>
      </c>
      <c r="BQ115" s="290">
        <f>IF(('Synthèse PER'!P115="A faire")*AND('Synthèse PER'!E115="Tertiaire"),'Synthèse PER'!L115,0)</f>
        <v>0</v>
      </c>
      <c r="BR115" s="290">
        <f>IF(('Synthèse PER'!P115="A faire")*AND('Synthèse PER'!E115="Transport"),'Synthèse PER'!L115,0)</f>
        <v>0</v>
      </c>
      <c r="BS115" s="290">
        <f>IF(('Synthèse PER'!P115="A faire")*AND('Synthèse PER'!E115="Communal"),'Synthèse PER'!L115,0)</f>
        <v>0</v>
      </c>
      <c r="BT115" s="290">
        <f>IF(('Synthèse PER'!Q115="A faire")*AND('Synthèse PER'!F115="Communal"),'Synthèse PER'!M115,0)</f>
        <v>0</v>
      </c>
    </row>
    <row r="116" spans="1:82" s="139" customFormat="1" ht="15" customHeight="1" x14ac:dyDescent="0.25">
      <c r="A116" s="371" t="s">
        <v>623</v>
      </c>
      <c r="B116" s="414" t="str">
        <f>'ADA-7'!B$3:E$3</f>
        <v>Gestion communale</v>
      </c>
      <c r="C116" s="419" t="str">
        <f>'ADA-7'!$B$8</f>
        <v>Ilots de chaleur urbain</v>
      </c>
      <c r="D116" s="133" t="str">
        <f>'ADA-7'!$B$9</f>
        <v>Réduction des îlots de chaleur en centre urbain</v>
      </c>
      <c r="E116" s="133" t="str">
        <f>'ADA-7'!$B$4</f>
        <v>Territoire</v>
      </c>
      <c r="F116" s="133" t="str">
        <f>'ADA-7'!$B$12</f>
        <v>AC MESSANCY</v>
      </c>
      <c r="G116" s="133" t="str">
        <f>'ADA-7'!$B$6</f>
        <v>Néant</v>
      </c>
      <c r="H116" s="134">
        <f>'ADA-7'!$B$17</f>
        <v>0</v>
      </c>
      <c r="I116" s="133" t="str">
        <f>'ADA-7'!$B$7</f>
        <v>Néant</v>
      </c>
      <c r="J116" s="134">
        <f>'ADA-7'!$B$18</f>
        <v>0</v>
      </c>
      <c r="K116" s="134">
        <f>'ADA-7'!$B$21</f>
        <v>1</v>
      </c>
      <c r="L116" s="134">
        <f>'ADA-7'!$B$22</f>
        <v>0</v>
      </c>
      <c r="M116" s="135">
        <f>'ADA-7'!$B$24</f>
        <v>0</v>
      </c>
      <c r="N116" s="135">
        <f>'ADA-7'!$B$19/1000</f>
        <v>0</v>
      </c>
      <c r="O116" s="136">
        <f t="shared" si="108"/>
        <v>0</v>
      </c>
      <c r="P116" s="137" t="str">
        <f>'ADA-7'!$B$5</f>
        <v>Ne pas réaliser</v>
      </c>
      <c r="Q116" s="140">
        <f>'ADA-7'!$B$16</f>
        <v>2030</v>
      </c>
      <c r="R116" s="284" t="str">
        <f t="shared" si="109"/>
        <v/>
      </c>
      <c r="S116" s="138">
        <f t="shared" si="92"/>
        <v>0</v>
      </c>
      <c r="T116" s="138">
        <f t="shared" si="93"/>
        <v>0</v>
      </c>
      <c r="U116" s="138">
        <f t="shared" si="94"/>
        <v>0</v>
      </c>
      <c r="V116" s="138">
        <f t="shared" si="95"/>
        <v>0</v>
      </c>
      <c r="W116" s="138">
        <f t="shared" si="96"/>
        <v>0</v>
      </c>
      <c r="X116" s="138">
        <f t="shared" si="97"/>
        <v>0</v>
      </c>
      <c r="Y116" s="138">
        <f t="shared" si="98"/>
        <v>0</v>
      </c>
      <c r="AA116" s="287">
        <f>IF(('Synthèse PER'!P116="A faire")*AND('Synthèse PER'!F116="Agriculture"),'Synthèse PER'!H116,0)</f>
        <v>0</v>
      </c>
      <c r="AB116" s="287">
        <f>IF(('Synthèse PER'!P116="A faire")*AND('Synthèse PER'!F116="Industrie"),'Synthèse PER'!H116,0)</f>
        <v>0</v>
      </c>
      <c r="AC116" s="287">
        <f>IF(('Synthèse PER'!P116="A faire")*AND('Synthèse PER'!F116="Citoyen"),'Synthèse PER'!H116,0)</f>
        <v>0</v>
      </c>
      <c r="AD116" s="287">
        <f>IF(('Synthèse PER'!P116="A faire")*AND('Synthèse PER'!F116="IDELUX"),'Synthèse PER'!H116,0)</f>
        <v>0</v>
      </c>
      <c r="AE116" s="290">
        <f>IF(('Synthèse PER'!P116="A faire")*AND('Synthèse PER'!F116="AC MESSANCY"),'Synthèse PER'!H116,0)</f>
        <v>0</v>
      </c>
      <c r="AF116" s="287">
        <f>IF(('Synthèse PER'!P116="A faire")*AND('Synthèse PER'!F116="Tertiaire"),'Synthèse PER'!H116,0)</f>
        <v>0</v>
      </c>
      <c r="AG116" s="288"/>
      <c r="AH116" s="290">
        <f>IF(('Synthèse PER'!P116="A faire")*AND('Synthèse PER'!F116="Agriculture"),'Synthèse PER'!J116,0)</f>
        <v>0</v>
      </c>
      <c r="AI116" s="290">
        <f>IF(('Synthèse PER'!P116="A faire")*AND('Synthèse PER'!F116="Industrie"),'Synthèse PER'!J116,0)</f>
        <v>0</v>
      </c>
      <c r="AJ116" s="290">
        <f>IF(('Synthèse PER'!P116="A faire")*AND('Synthèse PER'!F116="Citoyen"),'Synthèse PER'!J116,0)</f>
        <v>0</v>
      </c>
      <c r="AK116" s="290">
        <f>IF(('Synthèse PER'!P116="A faire")*AND('Synthèse PER'!F116="IDELUX"),'Synthèse PER'!J116,0)</f>
        <v>0</v>
      </c>
      <c r="AL116" s="290">
        <f>IF(('Synthèse PER'!P116="A faire")*AND('Synthèse PER'!F116="AC MESSANCY"),'Synthèse PER'!J116,0)</f>
        <v>0</v>
      </c>
      <c r="AM116" s="290">
        <f>IF(('Synthèse PER'!P116="A faire")*AND('Synthèse PER'!F116="Tertiaire"),'Synthèse PER'!J116,0)</f>
        <v>0</v>
      </c>
      <c r="AN116" s="288"/>
      <c r="AO116" s="290">
        <f>IF(('Synthèse PER'!P116="A faire")*AND('Synthèse PER'!E116="Territoire"),'Synthèse PER'!H116,0)</f>
        <v>0</v>
      </c>
      <c r="AP116" s="290">
        <f>IF(('Synthèse PER'!P116="A faire")*AND('Synthèse PER'!E116="Agriculture"),'Synthèse PER'!H116,0)</f>
        <v>0</v>
      </c>
      <c r="AQ116" s="290">
        <f>IF(('Synthèse PER'!P116="A faire")*AND('Synthèse PER'!E116="Industrie"),'Synthèse PER'!H116,0)</f>
        <v>0</v>
      </c>
      <c r="AR116" s="290">
        <f>IF(('Synthèse PER'!P116="A faire")*AND('Synthèse PER'!E116="Logement"),'Synthèse PER'!H116,0)</f>
        <v>0</v>
      </c>
      <c r="AS116" s="290">
        <f>IF(('Synthèse PER'!P116="A faire")*AND('Synthèse PER'!E116="Tertiaire"),'Synthèse PER'!H116,0)</f>
        <v>0</v>
      </c>
      <c r="AT116" s="290">
        <f>IF(('Synthèse PER'!P116="A faire")*AND('Synthèse PER'!E116="Transport"),'Synthèse PER'!H116,0)</f>
        <v>0</v>
      </c>
      <c r="AU116" s="290">
        <f>IF(('Synthèse PER'!P116="A faire")*AND('Synthèse PER'!E116="Communal"),'Synthèse PER'!H116,0)</f>
        <v>0</v>
      </c>
      <c r="AV116" s="288"/>
      <c r="AW116" s="290">
        <f>IF(('Synthèse PER'!P116="A faire")*AND('Synthèse PER'!E116="Territoire"),'Synthèse PER'!J116,0)</f>
        <v>0</v>
      </c>
      <c r="AX116" s="290">
        <f>IF(('Synthèse PER'!P116="A faire")*AND('Synthèse PER'!E116="Agriculture"),'Synthèse PER'!J116,0)</f>
        <v>0</v>
      </c>
      <c r="AY116" s="290">
        <f>IF(('Synthèse PER'!P116="A faire")*AND('Synthèse PER'!E116="Industrie"),'Synthèse PER'!J116,0)</f>
        <v>0</v>
      </c>
      <c r="AZ116" s="290">
        <f>IF(('Synthèse PER'!P116="A faire")*AND('Synthèse PER'!E116="Logement"),'Synthèse PER'!J116,0)</f>
        <v>0</v>
      </c>
      <c r="BA116" s="290">
        <f>IF(('Synthèse PER'!P116="A faire")*AND('Synthèse PER'!E116="Tertiaire"),'Synthèse PER'!J116,0)</f>
        <v>0</v>
      </c>
      <c r="BB116" s="290">
        <f>IF(('Synthèse PER'!P116="A faire")*AND('Synthèse PER'!E116="Transport"),'Synthèse PER'!J116,0)</f>
        <v>0</v>
      </c>
      <c r="BC116" s="290">
        <f>IF(('Synthèse PER'!P116="A faire")*AND('Synthèse PER'!E116="Communal"),'Synthèse PER'!J116,0)</f>
        <v>0</v>
      </c>
      <c r="BD116" s="288"/>
      <c r="BE116" s="290">
        <f>IF(('Synthèse PER'!P116="A faire")*AND('Synthèse PER'!E116="Territoire"),'Synthèse PER'!K116,0)</f>
        <v>0</v>
      </c>
      <c r="BF116" s="290">
        <f>IF(('Synthèse PER'!P116="A faire")*AND('Synthèse PER'!E116="Agriculture"),'Synthèse PER'!K116,0)</f>
        <v>0</v>
      </c>
      <c r="BG116" s="290">
        <f>IF(('Synthèse PER'!P116="A faire")*AND('Synthèse PER'!E116="Industrie"),'Synthèse PER'!K116,0)</f>
        <v>0</v>
      </c>
      <c r="BH116" s="290">
        <f>IF(('Synthèse PER'!P116="A faire")*AND('Synthèse PER'!E116="Logement"),'Synthèse PER'!K116,0)</f>
        <v>0</v>
      </c>
      <c r="BI116" s="290">
        <f>IF(('Synthèse PER'!P116="A faire")*AND('Synthèse PER'!E116="Tertiaire"),'Synthèse PER'!K116,0)</f>
        <v>0</v>
      </c>
      <c r="BJ116" s="290">
        <f>IF(('Synthèse PER'!P116="A faire")*AND('Synthèse PER'!E116="Transport"),'Synthèse PER'!K116,0)</f>
        <v>0</v>
      </c>
      <c r="BK116" s="290">
        <f>IF(('Synthèse PER'!P116="A faire")*AND('Synthèse PER'!E116="Communal"),'Synthèse PER'!K116,0)</f>
        <v>0</v>
      </c>
      <c r="BL116" s="288"/>
      <c r="BM116" s="290">
        <f>IF(('Synthèse PER'!P116="A faire")*AND('Synthèse PER'!E116="Territoire"),'Synthèse PER'!L116,0)</f>
        <v>0</v>
      </c>
      <c r="BN116" s="290">
        <f>IF(('Synthèse PER'!P116="A faire")*AND('Synthèse PER'!E116="Agriculture"),'Synthèse PER'!L116,0)</f>
        <v>0</v>
      </c>
      <c r="BO116" s="290">
        <f>IF(('Synthèse PER'!P116="A faire")*AND('Synthèse PER'!E116="Industrie"),'Synthèse PER'!L116,0)</f>
        <v>0</v>
      </c>
      <c r="BP116" s="290">
        <f>IF(('Synthèse PER'!P116="A faire")*AND('Synthèse PER'!E116="Logement"),'Synthèse PER'!L116,0)</f>
        <v>0</v>
      </c>
      <c r="BQ116" s="290">
        <f>IF(('Synthèse PER'!P116="A faire")*AND('Synthèse PER'!E116="Tertiaire"),'Synthèse PER'!L116,0)</f>
        <v>0</v>
      </c>
      <c r="BR116" s="290">
        <f>IF(('Synthèse PER'!P116="A faire")*AND('Synthèse PER'!E116="Transport"),'Synthèse PER'!L116,0)</f>
        <v>0</v>
      </c>
      <c r="BS116" s="290">
        <f>IF(('Synthèse PER'!P116="A faire")*AND('Synthèse PER'!E116="Communal"),'Synthèse PER'!L116,0)</f>
        <v>0</v>
      </c>
      <c r="BT116" s="290">
        <f>IF(('Synthèse PER'!Q116="A faire")*AND('Synthèse PER'!F116="Communal"),'Synthèse PER'!M116,0)</f>
        <v>0</v>
      </c>
    </row>
    <row r="117" spans="1:82" s="139" customFormat="1" ht="15" customHeight="1" x14ac:dyDescent="0.25">
      <c r="A117" s="371" t="s">
        <v>624</v>
      </c>
      <c r="B117" s="414" t="str">
        <f>'ADA-8'!B$3:E$3</f>
        <v>Gestion communale</v>
      </c>
      <c r="C117" s="419" t="str">
        <f>'ADA-8'!$B$8</f>
        <v>Ressources en eau</v>
      </c>
      <c r="D117" s="133" t="str">
        <f>'ADA-8'!$B$9</f>
        <v>Réduction de la pression sur les ressources en eau</v>
      </c>
      <c r="E117" s="133" t="str">
        <f>'ADA-8'!$B$4</f>
        <v>Territoire</v>
      </c>
      <c r="F117" s="133" t="str">
        <f>'ADA-8'!$B$12</f>
        <v>AC MESSANCY</v>
      </c>
      <c r="G117" s="133" t="str">
        <f>'ADA-8'!$B$6</f>
        <v>Néant</v>
      </c>
      <c r="H117" s="134">
        <f>'ADA-8'!$B$17</f>
        <v>10000</v>
      </c>
      <c r="I117" s="133" t="str">
        <f>'ADA-8'!$B$7</f>
        <v>Néant</v>
      </c>
      <c r="J117" s="134">
        <f>'ADA-8'!$B$18</f>
        <v>0</v>
      </c>
      <c r="K117" s="134">
        <f>'ADA-8'!$B$21</f>
        <v>1</v>
      </c>
      <c r="L117" s="134">
        <f>'ADA-8'!$B$22</f>
        <v>0</v>
      </c>
      <c r="M117" s="135">
        <f>'ADA-8'!$B$24</f>
        <v>10000</v>
      </c>
      <c r="N117" s="135">
        <f>'ADA-8'!$B$19/1000</f>
        <v>0</v>
      </c>
      <c r="O117" s="136">
        <f t="shared" si="108"/>
        <v>0</v>
      </c>
      <c r="P117" s="137" t="str">
        <f>'ADA-8'!$B$5</f>
        <v>A faire</v>
      </c>
      <c r="Q117" s="140">
        <f>'ADA-8'!$B$16</f>
        <v>2030</v>
      </c>
      <c r="R117" s="284" t="str">
        <f t="shared" si="109"/>
        <v/>
      </c>
      <c r="S117" s="138">
        <f t="shared" si="92"/>
        <v>0</v>
      </c>
      <c r="T117" s="138">
        <f t="shared" si="93"/>
        <v>0</v>
      </c>
      <c r="U117" s="138">
        <f t="shared" si="94"/>
        <v>0</v>
      </c>
      <c r="V117" s="138">
        <f t="shared" si="95"/>
        <v>0</v>
      </c>
      <c r="W117" s="138">
        <f t="shared" si="96"/>
        <v>0</v>
      </c>
      <c r="X117" s="138">
        <f t="shared" si="97"/>
        <v>0</v>
      </c>
      <c r="Y117" s="138">
        <f t="shared" si="98"/>
        <v>0</v>
      </c>
      <c r="AA117" s="287">
        <f>IF(('Synthèse PER'!P117="A faire")*AND('Synthèse PER'!F117="Agriculture"),'Synthèse PER'!H117,0)</f>
        <v>0</v>
      </c>
      <c r="AB117" s="287">
        <f>IF(('Synthèse PER'!P117="A faire")*AND('Synthèse PER'!F117="Industrie"),'Synthèse PER'!H117,0)</f>
        <v>0</v>
      </c>
      <c r="AC117" s="287">
        <f>IF(('Synthèse PER'!P117="A faire")*AND('Synthèse PER'!F117="Citoyen"),'Synthèse PER'!H117,0)</f>
        <v>0</v>
      </c>
      <c r="AD117" s="287">
        <f>IF(('Synthèse PER'!P117="A faire")*AND('Synthèse PER'!F117="IDELUX"),'Synthèse PER'!H117,0)</f>
        <v>0</v>
      </c>
      <c r="AE117" s="290">
        <f>IF(('Synthèse PER'!P117="A faire")*AND('Synthèse PER'!F117="AC MESSANCY"),'Synthèse PER'!H117,0)</f>
        <v>10000</v>
      </c>
      <c r="AF117" s="287">
        <f>IF(('Synthèse PER'!P117="A faire")*AND('Synthèse PER'!F117="Tertiaire"),'Synthèse PER'!H117,0)</f>
        <v>0</v>
      </c>
      <c r="AG117" s="288"/>
      <c r="AH117" s="290">
        <f>IF(('Synthèse PER'!P117="A faire")*AND('Synthèse PER'!F117="Agriculture"),'Synthèse PER'!J117,0)</f>
        <v>0</v>
      </c>
      <c r="AI117" s="290">
        <f>IF(('Synthèse PER'!P117="A faire")*AND('Synthèse PER'!F117="Industrie"),'Synthèse PER'!J117,0)</f>
        <v>0</v>
      </c>
      <c r="AJ117" s="290">
        <f>IF(('Synthèse PER'!P117="A faire")*AND('Synthèse PER'!F117="Citoyen"),'Synthèse PER'!J117,0)</f>
        <v>0</v>
      </c>
      <c r="AK117" s="290">
        <f>IF(('Synthèse PER'!P117="A faire")*AND('Synthèse PER'!F117="IDELUX"),'Synthèse PER'!J117,0)</f>
        <v>0</v>
      </c>
      <c r="AL117" s="290">
        <f>IF(('Synthèse PER'!P117="A faire")*AND('Synthèse PER'!F117="AC MESSANCY"),'Synthèse PER'!J117,0)</f>
        <v>0</v>
      </c>
      <c r="AM117" s="290">
        <f>IF(('Synthèse PER'!P117="A faire")*AND('Synthèse PER'!F117="Tertiaire"),'Synthèse PER'!J117,0)</f>
        <v>0</v>
      </c>
      <c r="AN117" s="288"/>
      <c r="AO117" s="290">
        <f>IF(('Synthèse PER'!P117="A faire")*AND('Synthèse PER'!E117="Territoire"),'Synthèse PER'!H117,0)</f>
        <v>10000</v>
      </c>
      <c r="AP117" s="290">
        <f>IF(('Synthèse PER'!P117="A faire")*AND('Synthèse PER'!E117="Agriculture"),'Synthèse PER'!H117,0)</f>
        <v>0</v>
      </c>
      <c r="AQ117" s="290">
        <f>IF(('Synthèse PER'!P117="A faire")*AND('Synthèse PER'!E117="Industrie"),'Synthèse PER'!H117,0)</f>
        <v>0</v>
      </c>
      <c r="AR117" s="290">
        <f>IF(('Synthèse PER'!P117="A faire")*AND('Synthèse PER'!E117="Logement"),'Synthèse PER'!H117,0)</f>
        <v>0</v>
      </c>
      <c r="AS117" s="290">
        <f>IF(('Synthèse PER'!P117="A faire")*AND('Synthèse PER'!E117="Tertiaire"),'Synthèse PER'!H117,0)</f>
        <v>0</v>
      </c>
      <c r="AT117" s="290">
        <f>IF(('Synthèse PER'!P117="A faire")*AND('Synthèse PER'!E117="Transport"),'Synthèse PER'!H117,0)</f>
        <v>0</v>
      </c>
      <c r="AU117" s="290">
        <f>IF(('Synthèse PER'!P117="A faire")*AND('Synthèse PER'!E117="Communal"),'Synthèse PER'!H117,0)</f>
        <v>0</v>
      </c>
      <c r="AV117" s="288"/>
      <c r="AW117" s="290">
        <f>IF(('Synthèse PER'!P117="A faire")*AND('Synthèse PER'!E117="Territoire"),'Synthèse PER'!J117,0)</f>
        <v>0</v>
      </c>
      <c r="AX117" s="290">
        <f>IF(('Synthèse PER'!P117="A faire")*AND('Synthèse PER'!E117="Agriculture"),'Synthèse PER'!J117,0)</f>
        <v>0</v>
      </c>
      <c r="AY117" s="290">
        <f>IF(('Synthèse PER'!P117="A faire")*AND('Synthèse PER'!E117="Industrie"),'Synthèse PER'!J117,0)</f>
        <v>0</v>
      </c>
      <c r="AZ117" s="290">
        <f>IF(('Synthèse PER'!P117="A faire")*AND('Synthèse PER'!E117="Logement"),'Synthèse PER'!J117,0)</f>
        <v>0</v>
      </c>
      <c r="BA117" s="290">
        <f>IF(('Synthèse PER'!P117="A faire")*AND('Synthèse PER'!E117="Tertiaire"),'Synthèse PER'!J117,0)</f>
        <v>0</v>
      </c>
      <c r="BB117" s="290">
        <f>IF(('Synthèse PER'!P117="A faire")*AND('Synthèse PER'!E117="Transport"),'Synthèse PER'!J117,0)</f>
        <v>0</v>
      </c>
      <c r="BC117" s="290">
        <f>IF(('Synthèse PER'!P117="A faire")*AND('Synthèse PER'!E117="Communal"),'Synthèse PER'!J117,0)</f>
        <v>0</v>
      </c>
      <c r="BD117" s="288"/>
      <c r="BE117" s="290">
        <f>IF(('Synthèse PER'!P117="A faire")*AND('Synthèse PER'!E117="Territoire"),'Synthèse PER'!K117,0)</f>
        <v>1</v>
      </c>
      <c r="BF117" s="290">
        <f>IF(('Synthèse PER'!P117="A faire")*AND('Synthèse PER'!E117="Agriculture"),'Synthèse PER'!K117,0)</f>
        <v>0</v>
      </c>
      <c r="BG117" s="290">
        <f>IF(('Synthèse PER'!P117="A faire")*AND('Synthèse PER'!E117="Industrie"),'Synthèse PER'!K117,0)</f>
        <v>0</v>
      </c>
      <c r="BH117" s="290">
        <f>IF(('Synthèse PER'!P117="A faire")*AND('Synthèse PER'!E117="Logement"),'Synthèse PER'!K117,0)</f>
        <v>0</v>
      </c>
      <c r="BI117" s="290">
        <f>IF(('Synthèse PER'!P117="A faire")*AND('Synthèse PER'!E117="Tertiaire"),'Synthèse PER'!K117,0)</f>
        <v>0</v>
      </c>
      <c r="BJ117" s="290">
        <f>IF(('Synthèse PER'!P117="A faire")*AND('Synthèse PER'!E117="Transport"),'Synthèse PER'!K117,0)</f>
        <v>0</v>
      </c>
      <c r="BK117" s="290">
        <f>IF(('Synthèse PER'!P117="A faire")*AND('Synthèse PER'!E117="Communal"),'Synthèse PER'!K117,0)</f>
        <v>0</v>
      </c>
      <c r="BL117" s="288"/>
      <c r="BM117" s="290">
        <f>IF(('Synthèse PER'!P117="A faire")*AND('Synthèse PER'!E117="Territoire"),'Synthèse PER'!L117,0)</f>
        <v>0</v>
      </c>
      <c r="BN117" s="290">
        <f>IF(('Synthèse PER'!P117="A faire")*AND('Synthèse PER'!E117="Agriculture"),'Synthèse PER'!L117,0)</f>
        <v>0</v>
      </c>
      <c r="BO117" s="290">
        <f>IF(('Synthèse PER'!P117="A faire")*AND('Synthèse PER'!E117="Industrie"),'Synthèse PER'!L117,0)</f>
        <v>0</v>
      </c>
      <c r="BP117" s="290">
        <f>IF(('Synthèse PER'!P117="A faire")*AND('Synthèse PER'!E117="Logement"),'Synthèse PER'!L117,0)</f>
        <v>0</v>
      </c>
      <c r="BQ117" s="290">
        <f>IF(('Synthèse PER'!P117="A faire")*AND('Synthèse PER'!E117="Tertiaire"),'Synthèse PER'!L117,0)</f>
        <v>0</v>
      </c>
      <c r="BR117" s="290">
        <f>IF(('Synthèse PER'!P117="A faire")*AND('Synthèse PER'!E117="Transport"),'Synthèse PER'!L117,0)</f>
        <v>0</v>
      </c>
      <c r="BS117" s="290">
        <f>IF(('Synthèse PER'!P117="A faire")*AND('Synthèse PER'!E117="Communal"),'Synthèse PER'!L117,0)</f>
        <v>0</v>
      </c>
      <c r="BT117" s="290">
        <f>IF(('Synthèse PER'!Q117="A faire")*AND('Synthèse PER'!F117="Communal"),'Synthèse PER'!M117,0)</f>
        <v>0</v>
      </c>
    </row>
    <row r="118" spans="1:82" s="139" customFormat="1" ht="15" customHeight="1" x14ac:dyDescent="0.25">
      <c r="A118" s="371" t="s">
        <v>625</v>
      </c>
      <c r="B118" s="414" t="str">
        <f>'ADA-9'!B$3:E$3</f>
        <v>Gestion communale</v>
      </c>
      <c r="C118" s="419" t="str">
        <f>'ADA-9'!$B$8</f>
        <v>Cultures et élevage</v>
      </c>
      <c r="D118" s="133" t="str">
        <f>'ADA-9'!$B$9</f>
        <v>Prévention des périodes de sécheresse</v>
      </c>
      <c r="E118" s="133" t="str">
        <f>'ADA-9'!$B$4</f>
        <v>Territoire</v>
      </c>
      <c r="F118" s="133" t="str">
        <f>'ADA-9'!$B$12</f>
        <v>IDELUX</v>
      </c>
      <c r="G118" s="133" t="str">
        <f>'ADA-9'!$B$6</f>
        <v>Néant</v>
      </c>
      <c r="H118" s="134">
        <f>'ADA-9'!$B$17</f>
        <v>200000</v>
      </c>
      <c r="I118" s="133" t="str">
        <f>'ADA-9'!$B$7</f>
        <v>Néant</v>
      </c>
      <c r="J118" s="134">
        <f>'ADA-9'!$B$18</f>
        <v>60000</v>
      </c>
      <c r="K118" s="134">
        <f>'ADA-9'!$B$21</f>
        <v>1</v>
      </c>
      <c r="L118" s="134">
        <f>'ADA-9'!$B$22</f>
        <v>0</v>
      </c>
      <c r="M118" s="135">
        <f>'ADA-9'!$B$24</f>
        <v>140000</v>
      </c>
      <c r="N118" s="135">
        <f>'ADA-9'!$B$19/1000</f>
        <v>0</v>
      </c>
      <c r="O118" s="136">
        <f t="shared" si="108"/>
        <v>0</v>
      </c>
      <c r="P118" s="137" t="str">
        <f>'ADA-9'!$B$5</f>
        <v>A investiguer</v>
      </c>
      <c r="Q118" s="140">
        <f>'ADA-9'!$B$16</f>
        <v>2030</v>
      </c>
      <c r="R118" s="284" t="str">
        <f t="shared" si="109"/>
        <v/>
      </c>
      <c r="S118" s="138">
        <f t="shared" si="92"/>
        <v>0</v>
      </c>
      <c r="T118" s="138">
        <f t="shared" si="93"/>
        <v>0</v>
      </c>
      <c r="U118" s="138">
        <f t="shared" si="94"/>
        <v>0</v>
      </c>
      <c r="V118" s="138">
        <f t="shared" si="95"/>
        <v>0</v>
      </c>
      <c r="W118" s="138">
        <f t="shared" si="96"/>
        <v>0</v>
      </c>
      <c r="X118" s="138">
        <f t="shared" si="97"/>
        <v>0</v>
      </c>
      <c r="Y118" s="138">
        <f t="shared" si="98"/>
        <v>0</v>
      </c>
      <c r="AA118" s="287">
        <f>IF(('Synthèse PER'!P118="A faire")*AND('Synthèse PER'!F118="Agriculture"),'Synthèse PER'!H118,0)</f>
        <v>0</v>
      </c>
      <c r="AB118" s="287">
        <f>IF(('Synthèse PER'!P118="A faire")*AND('Synthèse PER'!F118="Industrie"),'Synthèse PER'!H118,0)</f>
        <v>0</v>
      </c>
      <c r="AC118" s="287">
        <f>IF(('Synthèse PER'!P118="A faire")*AND('Synthèse PER'!F118="Citoyen"),'Synthèse PER'!H118,0)</f>
        <v>0</v>
      </c>
      <c r="AD118" s="287">
        <f>IF(('Synthèse PER'!P118="A faire")*AND('Synthèse PER'!F118="IDELUX"),'Synthèse PER'!H118,0)</f>
        <v>0</v>
      </c>
      <c r="AE118" s="290">
        <f>IF(('Synthèse PER'!P118="A faire")*AND('Synthèse PER'!F118="AC MESSANCY"),'Synthèse PER'!H118,0)</f>
        <v>0</v>
      </c>
      <c r="AF118" s="287">
        <f>IF(('Synthèse PER'!P118="A faire")*AND('Synthèse PER'!F118="Tertiaire"),'Synthèse PER'!H118,0)</f>
        <v>0</v>
      </c>
      <c r="AG118" s="288"/>
      <c r="AH118" s="290">
        <f>IF(('Synthèse PER'!P118="A faire")*AND('Synthèse PER'!F118="Agriculture"),'Synthèse PER'!J118,0)</f>
        <v>0</v>
      </c>
      <c r="AI118" s="290">
        <f>IF(('Synthèse PER'!P118="A faire")*AND('Synthèse PER'!F118="Industrie"),'Synthèse PER'!J118,0)</f>
        <v>0</v>
      </c>
      <c r="AJ118" s="290">
        <f>IF(('Synthèse PER'!P118="A faire")*AND('Synthèse PER'!F118="Citoyen"),'Synthèse PER'!J118,0)</f>
        <v>0</v>
      </c>
      <c r="AK118" s="290">
        <f>IF(('Synthèse PER'!P118="A faire")*AND('Synthèse PER'!F118="IDELUX"),'Synthèse PER'!J118,0)</f>
        <v>0</v>
      </c>
      <c r="AL118" s="290">
        <f>IF(('Synthèse PER'!P118="A faire")*AND('Synthèse PER'!F118="AC MESSANCY"),'Synthèse PER'!J118,0)</f>
        <v>0</v>
      </c>
      <c r="AM118" s="290">
        <f>IF(('Synthèse PER'!P118="A faire")*AND('Synthèse PER'!F118="Tertiaire"),'Synthèse PER'!J118,0)</f>
        <v>0</v>
      </c>
      <c r="AN118" s="288"/>
      <c r="AO118" s="290">
        <f>IF(('Synthèse PER'!P118="A faire")*AND('Synthèse PER'!E118="Territoire"),'Synthèse PER'!H118,0)</f>
        <v>0</v>
      </c>
      <c r="AP118" s="290">
        <f>IF(('Synthèse PER'!P118="A faire")*AND('Synthèse PER'!E118="Agriculture"),'Synthèse PER'!H118,0)</f>
        <v>0</v>
      </c>
      <c r="AQ118" s="290">
        <f>IF(('Synthèse PER'!P118="A faire")*AND('Synthèse PER'!E118="Industrie"),'Synthèse PER'!H118,0)</f>
        <v>0</v>
      </c>
      <c r="AR118" s="290">
        <f>IF(('Synthèse PER'!P118="A faire")*AND('Synthèse PER'!E118="Logement"),'Synthèse PER'!H118,0)</f>
        <v>0</v>
      </c>
      <c r="AS118" s="290">
        <f>IF(('Synthèse PER'!P118="A faire")*AND('Synthèse PER'!E118="Tertiaire"),'Synthèse PER'!H118,0)</f>
        <v>0</v>
      </c>
      <c r="AT118" s="290">
        <f>IF(('Synthèse PER'!P118="A faire")*AND('Synthèse PER'!E118="Transport"),'Synthèse PER'!H118,0)</f>
        <v>0</v>
      </c>
      <c r="AU118" s="290">
        <f>IF(('Synthèse PER'!P118="A faire")*AND('Synthèse PER'!E118="Communal"),'Synthèse PER'!H118,0)</f>
        <v>0</v>
      </c>
      <c r="AV118" s="288"/>
      <c r="AW118" s="290">
        <f>IF(('Synthèse PER'!P118="A faire")*AND('Synthèse PER'!E118="Territoire"),'Synthèse PER'!J118,0)</f>
        <v>0</v>
      </c>
      <c r="AX118" s="290">
        <f>IF(('Synthèse PER'!P118="A faire")*AND('Synthèse PER'!E118="Agriculture"),'Synthèse PER'!J118,0)</f>
        <v>0</v>
      </c>
      <c r="AY118" s="290">
        <f>IF(('Synthèse PER'!P118="A faire")*AND('Synthèse PER'!E118="Industrie"),'Synthèse PER'!J118,0)</f>
        <v>0</v>
      </c>
      <c r="AZ118" s="290">
        <f>IF(('Synthèse PER'!P118="A faire")*AND('Synthèse PER'!E118="Logement"),'Synthèse PER'!J118,0)</f>
        <v>0</v>
      </c>
      <c r="BA118" s="290">
        <f>IF(('Synthèse PER'!P118="A faire")*AND('Synthèse PER'!E118="Tertiaire"),'Synthèse PER'!J118,0)</f>
        <v>0</v>
      </c>
      <c r="BB118" s="290">
        <f>IF(('Synthèse PER'!P118="A faire")*AND('Synthèse PER'!E118="Transport"),'Synthèse PER'!J118,0)</f>
        <v>0</v>
      </c>
      <c r="BC118" s="290">
        <f>IF(('Synthèse PER'!P118="A faire")*AND('Synthèse PER'!E118="Communal"),'Synthèse PER'!J118,0)</f>
        <v>0</v>
      </c>
      <c r="BD118" s="288"/>
      <c r="BE118" s="290">
        <f>IF(('Synthèse PER'!P118="A faire")*AND('Synthèse PER'!E118="Territoire"),'Synthèse PER'!K118,0)</f>
        <v>0</v>
      </c>
      <c r="BF118" s="290">
        <f>IF(('Synthèse PER'!P118="A faire")*AND('Synthèse PER'!E118="Agriculture"),'Synthèse PER'!K118,0)</f>
        <v>0</v>
      </c>
      <c r="BG118" s="290">
        <f>IF(('Synthèse PER'!P118="A faire")*AND('Synthèse PER'!E118="Industrie"),'Synthèse PER'!K118,0)</f>
        <v>0</v>
      </c>
      <c r="BH118" s="290">
        <f>IF(('Synthèse PER'!P118="A faire")*AND('Synthèse PER'!E118="Logement"),'Synthèse PER'!K118,0)</f>
        <v>0</v>
      </c>
      <c r="BI118" s="290">
        <f>IF(('Synthèse PER'!P118="A faire")*AND('Synthèse PER'!E118="Tertiaire"),'Synthèse PER'!K118,0)</f>
        <v>0</v>
      </c>
      <c r="BJ118" s="290">
        <f>IF(('Synthèse PER'!P118="A faire")*AND('Synthèse PER'!E118="Transport"),'Synthèse PER'!K118,0)</f>
        <v>0</v>
      </c>
      <c r="BK118" s="290">
        <f>IF(('Synthèse PER'!P118="A faire")*AND('Synthèse PER'!E118="Communal"),'Synthèse PER'!K118,0)</f>
        <v>0</v>
      </c>
      <c r="BL118" s="288"/>
      <c r="BM118" s="290">
        <f>IF(('Synthèse PER'!P118="A faire")*AND('Synthèse PER'!E118="Territoire"),'Synthèse PER'!L118,0)</f>
        <v>0</v>
      </c>
      <c r="BN118" s="290">
        <f>IF(('Synthèse PER'!P118="A faire")*AND('Synthèse PER'!E118="Agriculture"),'Synthèse PER'!L118,0)</f>
        <v>0</v>
      </c>
      <c r="BO118" s="290">
        <f>IF(('Synthèse PER'!P118="A faire")*AND('Synthèse PER'!E118="Industrie"),'Synthèse PER'!L118,0)</f>
        <v>0</v>
      </c>
      <c r="BP118" s="290">
        <f>IF(('Synthèse PER'!P118="A faire")*AND('Synthèse PER'!E118="Logement"),'Synthèse PER'!L118,0)</f>
        <v>0</v>
      </c>
      <c r="BQ118" s="290">
        <f>IF(('Synthèse PER'!P118="A faire")*AND('Synthèse PER'!E118="Tertiaire"),'Synthèse PER'!L118,0)</f>
        <v>0</v>
      </c>
      <c r="BR118" s="290">
        <f>IF(('Synthèse PER'!P118="A faire")*AND('Synthèse PER'!E118="Transport"),'Synthèse PER'!L118,0)</f>
        <v>0</v>
      </c>
      <c r="BS118" s="290">
        <f>IF(('Synthèse PER'!P118="A faire")*AND('Synthèse PER'!E118="Communal"),'Synthèse PER'!L118,0)</f>
        <v>0</v>
      </c>
      <c r="BT118" s="290">
        <f>IF(('Synthèse PER'!Q118="A faire")*AND('Synthèse PER'!F118="Communal"),'Synthèse PER'!M118,0)</f>
        <v>0</v>
      </c>
    </row>
    <row r="119" spans="1:82" s="139" customFormat="1" ht="15" customHeight="1" x14ac:dyDescent="0.25">
      <c r="A119" s="371" t="s">
        <v>626</v>
      </c>
      <c r="B119" s="414" t="str">
        <f>'ADA-10'!B$3:E$3</f>
        <v>Gestion communale</v>
      </c>
      <c r="C119" s="419" t="str">
        <f>'ADA-10'!$B$8</f>
        <v>Eaux de surface</v>
      </c>
      <c r="D119" s="133" t="str">
        <f>'ADA-10'!$B$9</f>
        <v>Amélioration de la qualité des eaux de surfaces</v>
      </c>
      <c r="E119" s="133" t="str">
        <f>'ADA-10'!$B$4</f>
        <v>Territoire</v>
      </c>
      <c r="F119" s="133" t="str">
        <f>'ADA-10'!$B$12</f>
        <v>IDELUX</v>
      </c>
      <c r="G119" s="133" t="str">
        <f>'ADA-10'!$B$6</f>
        <v>Néant</v>
      </c>
      <c r="H119" s="134">
        <f>'ADA-10'!$B$17</f>
        <v>500000</v>
      </c>
      <c r="I119" s="133" t="str">
        <f>'ADA-10'!$B$7</f>
        <v>Néant</v>
      </c>
      <c r="J119" s="134">
        <f>'ADA-10'!$B$18</f>
        <v>0</v>
      </c>
      <c r="K119" s="134">
        <f>'ADA-10'!$B$21</f>
        <v>1</v>
      </c>
      <c r="L119" s="134">
        <f>'ADA-10'!$B$22</f>
        <v>0</v>
      </c>
      <c r="M119" s="135">
        <f>'ADA-10'!$B$24</f>
        <v>500000</v>
      </c>
      <c r="N119" s="135">
        <f>'ADA-10'!$B$19/1000</f>
        <v>0</v>
      </c>
      <c r="O119" s="136">
        <f t="shared" si="108"/>
        <v>0</v>
      </c>
      <c r="P119" s="137" t="str">
        <f>'ADA-10'!$B$5</f>
        <v>A faire</v>
      </c>
      <c r="Q119" s="140">
        <f>'ADA-10'!$B$16</f>
        <v>2030</v>
      </c>
      <c r="R119" s="284" t="str">
        <f t="shared" si="109"/>
        <v/>
      </c>
      <c r="S119" s="138">
        <f t="shared" si="92"/>
        <v>0</v>
      </c>
      <c r="T119" s="138">
        <f t="shared" si="93"/>
        <v>0</v>
      </c>
      <c r="U119" s="138">
        <f t="shared" si="94"/>
        <v>0</v>
      </c>
      <c r="V119" s="138">
        <f t="shared" si="95"/>
        <v>0</v>
      </c>
      <c r="W119" s="138">
        <f t="shared" si="96"/>
        <v>0</v>
      </c>
      <c r="X119" s="138">
        <f t="shared" si="97"/>
        <v>0</v>
      </c>
      <c r="Y119" s="138">
        <f t="shared" si="98"/>
        <v>0</v>
      </c>
      <c r="AA119" s="287">
        <f>IF(('Synthèse PER'!P119="A faire")*AND('Synthèse PER'!F119="Agriculture"),'Synthèse PER'!H119,0)</f>
        <v>0</v>
      </c>
      <c r="AB119" s="287">
        <f>IF(('Synthèse PER'!P119="A faire")*AND('Synthèse PER'!F119="Industrie"),'Synthèse PER'!H119,0)</f>
        <v>0</v>
      </c>
      <c r="AC119" s="287">
        <f>IF(('Synthèse PER'!P119="A faire")*AND('Synthèse PER'!F119="Citoyen"),'Synthèse PER'!H119,0)</f>
        <v>0</v>
      </c>
      <c r="AD119" s="287">
        <f>IF(('Synthèse PER'!P119="A faire")*AND('Synthèse PER'!F119="IDELUX"),'Synthèse PER'!H119,0)</f>
        <v>500000</v>
      </c>
      <c r="AE119" s="290">
        <f>IF(('Synthèse PER'!P119="A faire")*AND('Synthèse PER'!F119="AC MESSANCY"),'Synthèse PER'!H119,0)</f>
        <v>0</v>
      </c>
      <c r="AF119" s="287">
        <f>IF(('Synthèse PER'!P119="A faire")*AND('Synthèse PER'!F119="Tertiaire"),'Synthèse PER'!H119,0)</f>
        <v>0</v>
      </c>
      <c r="AG119" s="288"/>
      <c r="AH119" s="290">
        <f>IF(('Synthèse PER'!P119="A faire")*AND('Synthèse PER'!F119="Agriculture"),'Synthèse PER'!J119,0)</f>
        <v>0</v>
      </c>
      <c r="AI119" s="290">
        <f>IF(('Synthèse PER'!P119="A faire")*AND('Synthèse PER'!F119="Industrie"),'Synthèse PER'!J119,0)</f>
        <v>0</v>
      </c>
      <c r="AJ119" s="290">
        <f>IF(('Synthèse PER'!P119="A faire")*AND('Synthèse PER'!F119="Citoyen"),'Synthèse PER'!J119,0)</f>
        <v>0</v>
      </c>
      <c r="AK119" s="290">
        <f>IF(('Synthèse PER'!P119="A faire")*AND('Synthèse PER'!F119="IDELUX"),'Synthèse PER'!J119,0)</f>
        <v>0</v>
      </c>
      <c r="AL119" s="290">
        <f>IF(('Synthèse PER'!P119="A faire")*AND('Synthèse PER'!F119="AC MESSANCY"),'Synthèse PER'!J119,0)</f>
        <v>0</v>
      </c>
      <c r="AM119" s="290">
        <f>IF(('Synthèse PER'!P119="A faire")*AND('Synthèse PER'!F119="Tertiaire"),'Synthèse PER'!J119,0)</f>
        <v>0</v>
      </c>
      <c r="AN119" s="288"/>
      <c r="AO119" s="290">
        <f>IF(('Synthèse PER'!P119="A faire")*AND('Synthèse PER'!E119="Territoire"),'Synthèse PER'!H119,0)</f>
        <v>500000</v>
      </c>
      <c r="AP119" s="290">
        <f>IF(('Synthèse PER'!P119="A faire")*AND('Synthèse PER'!E119="Agriculture"),'Synthèse PER'!H119,0)</f>
        <v>0</v>
      </c>
      <c r="AQ119" s="290">
        <f>IF(('Synthèse PER'!P119="A faire")*AND('Synthèse PER'!E119="Industrie"),'Synthèse PER'!H119,0)</f>
        <v>0</v>
      </c>
      <c r="AR119" s="290">
        <f>IF(('Synthèse PER'!P119="A faire")*AND('Synthèse PER'!E119="Logement"),'Synthèse PER'!H119,0)</f>
        <v>0</v>
      </c>
      <c r="AS119" s="290">
        <f>IF(('Synthèse PER'!P119="A faire")*AND('Synthèse PER'!E119="Tertiaire"),'Synthèse PER'!H119,0)</f>
        <v>0</v>
      </c>
      <c r="AT119" s="290">
        <f>IF(('Synthèse PER'!P119="A faire")*AND('Synthèse PER'!E119="Transport"),'Synthèse PER'!H119,0)</f>
        <v>0</v>
      </c>
      <c r="AU119" s="290">
        <f>IF(('Synthèse PER'!P119="A faire")*AND('Synthèse PER'!E119="Communal"),'Synthèse PER'!H119,0)</f>
        <v>0</v>
      </c>
      <c r="AV119" s="288"/>
      <c r="AW119" s="290">
        <f>IF(('Synthèse PER'!P119="A faire")*AND('Synthèse PER'!E119="Territoire"),'Synthèse PER'!J119,0)</f>
        <v>0</v>
      </c>
      <c r="AX119" s="290">
        <f>IF(('Synthèse PER'!P119="A faire")*AND('Synthèse PER'!E119="Agriculture"),'Synthèse PER'!J119,0)</f>
        <v>0</v>
      </c>
      <c r="AY119" s="290">
        <f>IF(('Synthèse PER'!P119="A faire")*AND('Synthèse PER'!E119="Industrie"),'Synthèse PER'!J119,0)</f>
        <v>0</v>
      </c>
      <c r="AZ119" s="290">
        <f>IF(('Synthèse PER'!P119="A faire")*AND('Synthèse PER'!E119="Logement"),'Synthèse PER'!J119,0)</f>
        <v>0</v>
      </c>
      <c r="BA119" s="290">
        <f>IF(('Synthèse PER'!P119="A faire")*AND('Synthèse PER'!E119="Tertiaire"),'Synthèse PER'!J119,0)</f>
        <v>0</v>
      </c>
      <c r="BB119" s="290">
        <f>IF(('Synthèse PER'!P119="A faire")*AND('Synthèse PER'!E119="Transport"),'Synthèse PER'!J119,0)</f>
        <v>0</v>
      </c>
      <c r="BC119" s="290">
        <f>IF(('Synthèse PER'!P119="A faire")*AND('Synthèse PER'!E119="Communal"),'Synthèse PER'!J119,0)</f>
        <v>0</v>
      </c>
      <c r="BD119" s="288"/>
      <c r="BE119" s="290">
        <f>IF(('Synthèse PER'!P119="A faire")*AND('Synthèse PER'!E119="Territoire"),'Synthèse PER'!K119,0)</f>
        <v>1</v>
      </c>
      <c r="BF119" s="290">
        <f>IF(('Synthèse PER'!P119="A faire")*AND('Synthèse PER'!E119="Agriculture"),'Synthèse PER'!K119,0)</f>
        <v>0</v>
      </c>
      <c r="BG119" s="290">
        <f>IF(('Synthèse PER'!P119="A faire")*AND('Synthèse PER'!E119="Industrie"),'Synthèse PER'!K119,0)</f>
        <v>0</v>
      </c>
      <c r="BH119" s="290">
        <f>IF(('Synthèse PER'!P119="A faire")*AND('Synthèse PER'!E119="Logement"),'Synthèse PER'!K119,0)</f>
        <v>0</v>
      </c>
      <c r="BI119" s="290">
        <f>IF(('Synthèse PER'!P119="A faire")*AND('Synthèse PER'!E119="Tertiaire"),'Synthèse PER'!K119,0)</f>
        <v>0</v>
      </c>
      <c r="BJ119" s="290">
        <f>IF(('Synthèse PER'!P119="A faire")*AND('Synthèse PER'!E119="Transport"),'Synthèse PER'!K119,0)</f>
        <v>0</v>
      </c>
      <c r="BK119" s="290">
        <f>IF(('Synthèse PER'!P119="A faire")*AND('Synthèse PER'!E119="Communal"),'Synthèse PER'!K119,0)</f>
        <v>0</v>
      </c>
      <c r="BL119" s="288"/>
      <c r="BM119" s="290">
        <f>IF(('Synthèse PER'!P119="A faire")*AND('Synthèse PER'!E119="Territoire"),'Synthèse PER'!L119,0)</f>
        <v>0</v>
      </c>
      <c r="BN119" s="290">
        <f>IF(('Synthèse PER'!P119="A faire")*AND('Synthèse PER'!E119="Agriculture"),'Synthèse PER'!L119,0)</f>
        <v>0</v>
      </c>
      <c r="BO119" s="290">
        <f>IF(('Synthèse PER'!P119="A faire")*AND('Synthèse PER'!E119="Industrie"),'Synthèse PER'!L119,0)</f>
        <v>0</v>
      </c>
      <c r="BP119" s="290">
        <f>IF(('Synthèse PER'!P119="A faire")*AND('Synthèse PER'!E119="Logement"),'Synthèse PER'!L119,0)</f>
        <v>0</v>
      </c>
      <c r="BQ119" s="290">
        <f>IF(('Synthèse PER'!P119="A faire")*AND('Synthèse PER'!E119="Tertiaire"),'Synthèse PER'!L119,0)</f>
        <v>0</v>
      </c>
      <c r="BR119" s="290">
        <f>IF(('Synthèse PER'!P119="A faire")*AND('Synthèse PER'!E119="Transport"),'Synthèse PER'!L119,0)</f>
        <v>0</v>
      </c>
      <c r="BS119" s="290">
        <f>IF(('Synthèse PER'!P119="A faire")*AND('Synthèse PER'!E119="Communal"),'Synthèse PER'!L119,0)</f>
        <v>0</v>
      </c>
      <c r="BT119" s="290">
        <f>IF(('Synthèse PER'!Q119="A faire")*AND('Synthèse PER'!F119="Communal"),'Synthèse PER'!M119,0)</f>
        <v>0</v>
      </c>
    </row>
    <row r="120" spans="1:82" s="139" customFormat="1" ht="15" customHeight="1" x14ac:dyDescent="0.25">
      <c r="A120" s="371" t="s">
        <v>627</v>
      </c>
      <c r="B120" s="414" t="str">
        <f>'ADA-11'!B$3:E$3</f>
        <v>Gestion communale</v>
      </c>
      <c r="C120" s="419" t="str">
        <f>'ADA-11'!$B$8</f>
        <v>Urbanisme</v>
      </c>
      <c r="D120" s="133" t="str">
        <f>'ADA-11'!$B$9</f>
        <v>Régles urbanistiques adaptées au réchauffement climatique</v>
      </c>
      <c r="E120" s="133" t="str">
        <f>'ADA-11'!$B$4</f>
        <v>Territoire</v>
      </c>
      <c r="F120" s="133" t="str">
        <f>'ADA-11'!$B$12</f>
        <v>AC MESSANCY</v>
      </c>
      <c r="G120" s="133" t="str">
        <f>'ADA-11'!$B$6</f>
        <v>Néant</v>
      </c>
      <c r="H120" s="134">
        <f>'ADA-11'!$B$17</f>
        <v>0</v>
      </c>
      <c r="I120" s="133" t="str">
        <f>'ADA-11'!$B$7</f>
        <v>Néant</v>
      </c>
      <c r="J120" s="134">
        <f>'ADA-11'!$B$18</f>
        <v>0</v>
      </c>
      <c r="K120" s="134">
        <f>'ADA-11'!$B$21</f>
        <v>1</v>
      </c>
      <c r="L120" s="134">
        <f>'ADA-11'!$B$22</f>
        <v>0</v>
      </c>
      <c r="M120" s="135">
        <f>'ADA-11'!$B$24</f>
        <v>0</v>
      </c>
      <c r="N120" s="135">
        <f>'ADA-11'!$B$19/1000</f>
        <v>0</v>
      </c>
      <c r="O120" s="136">
        <f t="shared" si="108"/>
        <v>0</v>
      </c>
      <c r="P120" s="137" t="str">
        <f>'ADA-11'!$B$5</f>
        <v>Terminé</v>
      </c>
      <c r="Q120" s="140">
        <f>'ADA-11'!$B$16</f>
        <v>2012</v>
      </c>
      <c r="R120" s="284">
        <f t="shared" si="109"/>
        <v>0</v>
      </c>
      <c r="S120" s="138">
        <f t="shared" si="92"/>
        <v>0</v>
      </c>
      <c r="T120" s="138">
        <f t="shared" si="93"/>
        <v>0</v>
      </c>
      <c r="U120" s="138">
        <f t="shared" si="94"/>
        <v>0</v>
      </c>
      <c r="V120" s="138">
        <f t="shared" si="95"/>
        <v>0</v>
      </c>
      <c r="W120" s="138">
        <f t="shared" si="96"/>
        <v>0</v>
      </c>
      <c r="X120" s="138">
        <f t="shared" si="97"/>
        <v>0</v>
      </c>
      <c r="Y120" s="138">
        <f t="shared" si="98"/>
        <v>0</v>
      </c>
      <c r="AA120" s="287">
        <f>IF(('Synthèse PER'!P120="A faire")*AND('Synthèse PER'!F120="Agriculture"),'Synthèse PER'!H120,0)</f>
        <v>0</v>
      </c>
      <c r="AB120" s="287">
        <f>IF(('Synthèse PER'!P120="A faire")*AND('Synthèse PER'!F120="Industrie"),'Synthèse PER'!H120,0)</f>
        <v>0</v>
      </c>
      <c r="AC120" s="287">
        <f>IF(('Synthèse PER'!P120="A faire")*AND('Synthèse PER'!F120="Citoyen"),'Synthèse PER'!H120,0)</f>
        <v>0</v>
      </c>
      <c r="AD120" s="287">
        <f>IF(('Synthèse PER'!P120="A faire")*AND('Synthèse PER'!F120="IDELUX"),'Synthèse PER'!H120,0)</f>
        <v>0</v>
      </c>
      <c r="AE120" s="290">
        <f>IF(('Synthèse PER'!P120="A faire")*AND('Synthèse PER'!F120="AC MESSANCY"),'Synthèse PER'!H120,0)</f>
        <v>0</v>
      </c>
      <c r="AF120" s="287">
        <f>IF(('Synthèse PER'!P120="A faire")*AND('Synthèse PER'!F120="Tertiaire"),'Synthèse PER'!H120,0)</f>
        <v>0</v>
      </c>
      <c r="AG120" s="288"/>
      <c r="AH120" s="290">
        <f>IF(('Synthèse PER'!P120="A faire")*AND('Synthèse PER'!F120="Agriculture"),'Synthèse PER'!J120,0)</f>
        <v>0</v>
      </c>
      <c r="AI120" s="290">
        <f>IF(('Synthèse PER'!P120="A faire")*AND('Synthèse PER'!F120="Industrie"),'Synthèse PER'!J120,0)</f>
        <v>0</v>
      </c>
      <c r="AJ120" s="290">
        <f>IF(('Synthèse PER'!P120="A faire")*AND('Synthèse PER'!F120="Citoyen"),'Synthèse PER'!J120,0)</f>
        <v>0</v>
      </c>
      <c r="AK120" s="290">
        <f>IF(('Synthèse PER'!P120="A faire")*AND('Synthèse PER'!F120="IDELUX"),'Synthèse PER'!J120,0)</f>
        <v>0</v>
      </c>
      <c r="AL120" s="290">
        <f>IF(('Synthèse PER'!P120="A faire")*AND('Synthèse PER'!F120="AC MESSANCY"),'Synthèse PER'!J120,0)</f>
        <v>0</v>
      </c>
      <c r="AM120" s="290">
        <f>IF(('Synthèse PER'!P120="A faire")*AND('Synthèse PER'!F120="Tertiaire"),'Synthèse PER'!J120,0)</f>
        <v>0</v>
      </c>
      <c r="AN120" s="288"/>
      <c r="AO120" s="290">
        <f>IF(('Synthèse PER'!P120="A faire")*AND('Synthèse PER'!E120="Territoire"),'Synthèse PER'!H120,0)</f>
        <v>0</v>
      </c>
      <c r="AP120" s="290">
        <f>IF(('Synthèse PER'!P120="A faire")*AND('Synthèse PER'!E120="Agriculture"),'Synthèse PER'!H120,0)</f>
        <v>0</v>
      </c>
      <c r="AQ120" s="290">
        <f>IF(('Synthèse PER'!P120="A faire")*AND('Synthèse PER'!E120="Industrie"),'Synthèse PER'!H120,0)</f>
        <v>0</v>
      </c>
      <c r="AR120" s="290">
        <f>IF(('Synthèse PER'!P120="A faire")*AND('Synthèse PER'!E120="Logement"),'Synthèse PER'!H120,0)</f>
        <v>0</v>
      </c>
      <c r="AS120" s="290">
        <f>IF(('Synthèse PER'!P120="A faire")*AND('Synthèse PER'!E120="Tertiaire"),'Synthèse PER'!H120,0)</f>
        <v>0</v>
      </c>
      <c r="AT120" s="290">
        <f>IF(('Synthèse PER'!P120="A faire")*AND('Synthèse PER'!E120="Transport"),'Synthèse PER'!H120,0)</f>
        <v>0</v>
      </c>
      <c r="AU120" s="290">
        <f>IF(('Synthèse PER'!P120="A faire")*AND('Synthèse PER'!E120="Communal"),'Synthèse PER'!H120,0)</f>
        <v>0</v>
      </c>
      <c r="AV120" s="288"/>
      <c r="AW120" s="290">
        <f>IF(('Synthèse PER'!P120="A faire")*AND('Synthèse PER'!E120="Territoire"),'Synthèse PER'!J120,0)</f>
        <v>0</v>
      </c>
      <c r="AX120" s="290">
        <f>IF(('Synthèse PER'!P120="A faire")*AND('Synthèse PER'!E120="Agriculture"),'Synthèse PER'!J120,0)</f>
        <v>0</v>
      </c>
      <c r="AY120" s="290">
        <f>IF(('Synthèse PER'!P120="A faire")*AND('Synthèse PER'!E120="Industrie"),'Synthèse PER'!J120,0)</f>
        <v>0</v>
      </c>
      <c r="AZ120" s="290">
        <f>IF(('Synthèse PER'!P120="A faire")*AND('Synthèse PER'!E120="Logement"),'Synthèse PER'!J120,0)</f>
        <v>0</v>
      </c>
      <c r="BA120" s="290">
        <f>IF(('Synthèse PER'!P120="A faire")*AND('Synthèse PER'!E120="Tertiaire"),'Synthèse PER'!J120,0)</f>
        <v>0</v>
      </c>
      <c r="BB120" s="290">
        <f>IF(('Synthèse PER'!P120="A faire")*AND('Synthèse PER'!E120="Transport"),'Synthèse PER'!J120,0)</f>
        <v>0</v>
      </c>
      <c r="BC120" s="290">
        <f>IF(('Synthèse PER'!P120="A faire")*AND('Synthèse PER'!E120="Communal"),'Synthèse PER'!J120,0)</f>
        <v>0</v>
      </c>
      <c r="BD120" s="288"/>
      <c r="BE120" s="290">
        <f>IF(('Synthèse PER'!P120="A faire")*AND('Synthèse PER'!E120="Territoire"),'Synthèse PER'!K120,0)</f>
        <v>0</v>
      </c>
      <c r="BF120" s="290">
        <f>IF(('Synthèse PER'!P120="A faire")*AND('Synthèse PER'!E120="Agriculture"),'Synthèse PER'!K120,0)</f>
        <v>0</v>
      </c>
      <c r="BG120" s="290">
        <f>IF(('Synthèse PER'!P120="A faire")*AND('Synthèse PER'!E120="Industrie"),'Synthèse PER'!K120,0)</f>
        <v>0</v>
      </c>
      <c r="BH120" s="290">
        <f>IF(('Synthèse PER'!P120="A faire")*AND('Synthèse PER'!E120="Logement"),'Synthèse PER'!K120,0)</f>
        <v>0</v>
      </c>
      <c r="BI120" s="290">
        <f>IF(('Synthèse PER'!P120="A faire")*AND('Synthèse PER'!E120="Tertiaire"),'Synthèse PER'!K120,0)</f>
        <v>0</v>
      </c>
      <c r="BJ120" s="290">
        <f>IF(('Synthèse PER'!P120="A faire")*AND('Synthèse PER'!E120="Transport"),'Synthèse PER'!K120,0)</f>
        <v>0</v>
      </c>
      <c r="BK120" s="290">
        <f>IF(('Synthèse PER'!P120="A faire")*AND('Synthèse PER'!E120="Communal"),'Synthèse PER'!K120,0)</f>
        <v>0</v>
      </c>
      <c r="BL120" s="288"/>
      <c r="BM120" s="290">
        <f>IF(('Synthèse PER'!P120="A faire")*AND('Synthèse PER'!E120="Territoire"),'Synthèse PER'!L120,0)</f>
        <v>0</v>
      </c>
      <c r="BN120" s="290">
        <f>IF(('Synthèse PER'!P120="A faire")*AND('Synthèse PER'!E120="Agriculture"),'Synthèse PER'!L120,0)</f>
        <v>0</v>
      </c>
      <c r="BO120" s="290">
        <f>IF(('Synthèse PER'!P120="A faire")*AND('Synthèse PER'!E120="Industrie"),'Synthèse PER'!L120,0)</f>
        <v>0</v>
      </c>
      <c r="BP120" s="290">
        <f>IF(('Synthèse PER'!P120="A faire")*AND('Synthèse PER'!E120="Logement"),'Synthèse PER'!L120,0)</f>
        <v>0</v>
      </c>
      <c r="BQ120" s="290">
        <f>IF(('Synthèse PER'!P120="A faire")*AND('Synthèse PER'!E120="Tertiaire"),'Synthèse PER'!L120,0)</f>
        <v>0</v>
      </c>
      <c r="BR120" s="290">
        <f>IF(('Synthèse PER'!P120="A faire")*AND('Synthèse PER'!E120="Transport"),'Synthèse PER'!L120,0)</f>
        <v>0</v>
      </c>
      <c r="BS120" s="290">
        <f>IF(('Synthèse PER'!P120="A faire")*AND('Synthèse PER'!E120="Communal"),'Synthèse PER'!L120,0)</f>
        <v>0</v>
      </c>
      <c r="BT120" s="290">
        <f>IF(('Synthèse PER'!Q120="A faire")*AND('Synthèse PER'!F120="Communal"),'Synthèse PER'!M120,0)</f>
        <v>0</v>
      </c>
    </row>
    <row r="121" spans="1:82" s="139" customFormat="1" ht="15" customHeight="1" x14ac:dyDescent="0.25">
      <c r="A121" s="371" t="s">
        <v>628</v>
      </c>
      <c r="B121" s="414" t="str">
        <f>'ADA-12'!B$3:E$3</f>
        <v>Gestion communale</v>
      </c>
      <c r="C121" s="419" t="str">
        <f>'ADA-12'!$B$8</f>
        <v>Urbanisme</v>
      </c>
      <c r="D121" s="133" t="str">
        <f>'ADA-12'!$B$9</f>
        <v>Règles urbanistiques en zones inondables</v>
      </c>
      <c r="E121" s="133" t="str">
        <f>'ADA-12'!$B$4</f>
        <v>Territoire</v>
      </c>
      <c r="F121" s="133" t="str">
        <f>'ADA-12'!$B$12</f>
        <v>AC MESSANCY</v>
      </c>
      <c r="G121" s="133" t="str">
        <f>'ADA-12'!$B$6</f>
        <v>Néant</v>
      </c>
      <c r="H121" s="134">
        <f>'ADA-12'!$B$17</f>
        <v>0</v>
      </c>
      <c r="I121" s="133" t="str">
        <f>'ADA-12'!$B$7</f>
        <v>Néant</v>
      </c>
      <c r="J121" s="134">
        <f>'ADA-12'!$B$18</f>
        <v>0</v>
      </c>
      <c r="K121" s="134">
        <f>'ADA-12'!$B$21</f>
        <v>1</v>
      </c>
      <c r="L121" s="134">
        <f>'ADA-12'!$B$22</f>
        <v>0</v>
      </c>
      <c r="M121" s="135">
        <f>'ADA-12'!$B$24</f>
        <v>0</v>
      </c>
      <c r="N121" s="135">
        <f>'ADA-12'!$B$19/1000</f>
        <v>0</v>
      </c>
      <c r="O121" s="136">
        <f t="shared" si="108"/>
        <v>0</v>
      </c>
      <c r="P121" s="137" t="str">
        <f>'ADA-12'!$B$5</f>
        <v>Terminé</v>
      </c>
      <c r="Q121" s="140">
        <f>'ADA-12'!$B$16</f>
        <v>2012</v>
      </c>
      <c r="R121" s="284">
        <f t="shared" si="109"/>
        <v>0</v>
      </c>
      <c r="S121" s="138">
        <f t="shared" si="92"/>
        <v>0</v>
      </c>
      <c r="T121" s="138">
        <f t="shared" si="93"/>
        <v>0</v>
      </c>
      <c r="U121" s="138">
        <f t="shared" si="94"/>
        <v>0</v>
      </c>
      <c r="V121" s="138">
        <f t="shared" si="95"/>
        <v>0</v>
      </c>
      <c r="W121" s="138">
        <f t="shared" si="96"/>
        <v>0</v>
      </c>
      <c r="X121" s="138">
        <f t="shared" si="97"/>
        <v>0</v>
      </c>
      <c r="Y121" s="138">
        <f t="shared" si="98"/>
        <v>0</v>
      </c>
      <c r="AA121" s="287">
        <f>IF(('Synthèse PER'!P121="A faire")*AND('Synthèse PER'!F121="Agriculture"),'Synthèse PER'!H121,0)</f>
        <v>0</v>
      </c>
      <c r="AB121" s="287">
        <f>IF(('Synthèse PER'!P121="A faire")*AND('Synthèse PER'!F121="Industrie"),'Synthèse PER'!H121,0)</f>
        <v>0</v>
      </c>
      <c r="AC121" s="287">
        <f>IF(('Synthèse PER'!P121="A faire")*AND('Synthèse PER'!F121="Citoyen"),'Synthèse PER'!H121,0)</f>
        <v>0</v>
      </c>
      <c r="AD121" s="287">
        <f>IF(('Synthèse PER'!P121="A faire")*AND('Synthèse PER'!F121="IDELUX"),'Synthèse PER'!H121,0)</f>
        <v>0</v>
      </c>
      <c r="AE121" s="290">
        <f>IF(('Synthèse PER'!P121="A faire")*AND('Synthèse PER'!F121="AC MESSANCY"),'Synthèse PER'!H121,0)</f>
        <v>0</v>
      </c>
      <c r="AF121" s="287">
        <f>IF(('Synthèse PER'!P121="A faire")*AND('Synthèse PER'!F121="Tertiaire"),'Synthèse PER'!H121,0)</f>
        <v>0</v>
      </c>
      <c r="AG121" s="288"/>
      <c r="AH121" s="290">
        <f>IF(('Synthèse PER'!P121="A faire")*AND('Synthèse PER'!F121="Agriculture"),'Synthèse PER'!J121,0)</f>
        <v>0</v>
      </c>
      <c r="AI121" s="290">
        <f>IF(('Synthèse PER'!P121="A faire")*AND('Synthèse PER'!F121="Industrie"),'Synthèse PER'!J121,0)</f>
        <v>0</v>
      </c>
      <c r="AJ121" s="290">
        <f>IF(('Synthèse PER'!P121="A faire")*AND('Synthèse PER'!F121="Citoyen"),'Synthèse PER'!J121,0)</f>
        <v>0</v>
      </c>
      <c r="AK121" s="290">
        <f>IF(('Synthèse PER'!P121="A faire")*AND('Synthèse PER'!F121="IDELUX"),'Synthèse PER'!J121,0)</f>
        <v>0</v>
      </c>
      <c r="AL121" s="290">
        <f>IF(('Synthèse PER'!P121="A faire")*AND('Synthèse PER'!F121="AC MESSANCY"),'Synthèse PER'!J121,0)</f>
        <v>0</v>
      </c>
      <c r="AM121" s="290">
        <f>IF(('Synthèse PER'!P121="A faire")*AND('Synthèse PER'!F121="Tertiaire"),'Synthèse PER'!J121,0)</f>
        <v>0</v>
      </c>
      <c r="AN121" s="288"/>
      <c r="AO121" s="290">
        <f>IF(('Synthèse PER'!P121="A faire")*AND('Synthèse PER'!E121="Territoire"),'Synthèse PER'!H121,0)</f>
        <v>0</v>
      </c>
      <c r="AP121" s="290">
        <f>IF(('Synthèse PER'!P121="A faire")*AND('Synthèse PER'!E121="Agriculture"),'Synthèse PER'!H121,0)</f>
        <v>0</v>
      </c>
      <c r="AQ121" s="290">
        <f>IF(('Synthèse PER'!P121="A faire")*AND('Synthèse PER'!E121="Industrie"),'Synthèse PER'!H121,0)</f>
        <v>0</v>
      </c>
      <c r="AR121" s="290">
        <f>IF(('Synthèse PER'!P121="A faire")*AND('Synthèse PER'!E121="Logement"),'Synthèse PER'!H121,0)</f>
        <v>0</v>
      </c>
      <c r="AS121" s="290">
        <f>IF(('Synthèse PER'!P121="A faire")*AND('Synthèse PER'!E121="Tertiaire"),'Synthèse PER'!H121,0)</f>
        <v>0</v>
      </c>
      <c r="AT121" s="290">
        <f>IF(('Synthèse PER'!P121="A faire")*AND('Synthèse PER'!E121="Transport"),'Synthèse PER'!H121,0)</f>
        <v>0</v>
      </c>
      <c r="AU121" s="290">
        <f>IF(('Synthèse PER'!P121="A faire")*AND('Synthèse PER'!E121="Communal"),'Synthèse PER'!H121,0)</f>
        <v>0</v>
      </c>
      <c r="AV121" s="288"/>
      <c r="AW121" s="290">
        <f>IF(('Synthèse PER'!P121="A faire")*AND('Synthèse PER'!E121="Territoire"),'Synthèse PER'!J121,0)</f>
        <v>0</v>
      </c>
      <c r="AX121" s="290">
        <f>IF(('Synthèse PER'!P121="A faire")*AND('Synthèse PER'!E121="Agriculture"),'Synthèse PER'!J121,0)</f>
        <v>0</v>
      </c>
      <c r="AY121" s="290">
        <f>IF(('Synthèse PER'!P121="A faire")*AND('Synthèse PER'!E121="Industrie"),'Synthèse PER'!J121,0)</f>
        <v>0</v>
      </c>
      <c r="AZ121" s="290">
        <f>IF(('Synthèse PER'!P121="A faire")*AND('Synthèse PER'!E121="Logement"),'Synthèse PER'!J121,0)</f>
        <v>0</v>
      </c>
      <c r="BA121" s="290">
        <f>IF(('Synthèse PER'!P121="A faire")*AND('Synthèse PER'!E121="Tertiaire"),'Synthèse PER'!J121,0)</f>
        <v>0</v>
      </c>
      <c r="BB121" s="290">
        <f>IF(('Synthèse PER'!P121="A faire")*AND('Synthèse PER'!E121="Transport"),'Synthèse PER'!J121,0)</f>
        <v>0</v>
      </c>
      <c r="BC121" s="290">
        <f>IF(('Synthèse PER'!P121="A faire")*AND('Synthèse PER'!E121="Communal"),'Synthèse PER'!J121,0)</f>
        <v>0</v>
      </c>
      <c r="BD121" s="288"/>
      <c r="BE121" s="290">
        <f>IF(('Synthèse PER'!P121="A faire")*AND('Synthèse PER'!E121="Territoire"),'Synthèse PER'!K121,0)</f>
        <v>0</v>
      </c>
      <c r="BF121" s="290">
        <f>IF(('Synthèse PER'!P121="A faire")*AND('Synthèse PER'!E121="Agriculture"),'Synthèse PER'!K121,0)</f>
        <v>0</v>
      </c>
      <c r="BG121" s="290">
        <f>IF(('Synthèse PER'!P121="A faire")*AND('Synthèse PER'!E121="Industrie"),'Synthèse PER'!K121,0)</f>
        <v>0</v>
      </c>
      <c r="BH121" s="290">
        <f>IF(('Synthèse PER'!P121="A faire")*AND('Synthèse PER'!E121="Logement"),'Synthèse PER'!K121,0)</f>
        <v>0</v>
      </c>
      <c r="BI121" s="290">
        <f>IF(('Synthèse PER'!P121="A faire")*AND('Synthèse PER'!E121="Tertiaire"),'Synthèse PER'!K121,0)</f>
        <v>0</v>
      </c>
      <c r="BJ121" s="290">
        <f>IF(('Synthèse PER'!P121="A faire")*AND('Synthèse PER'!E121="Transport"),'Synthèse PER'!K121,0)</f>
        <v>0</v>
      </c>
      <c r="BK121" s="290">
        <f>IF(('Synthèse PER'!P121="A faire")*AND('Synthèse PER'!E121="Communal"),'Synthèse PER'!K121,0)</f>
        <v>0</v>
      </c>
      <c r="BL121" s="288"/>
      <c r="BM121" s="290">
        <f>IF(('Synthèse PER'!P121="A faire")*AND('Synthèse PER'!E121="Territoire"),'Synthèse PER'!L121,0)</f>
        <v>0</v>
      </c>
      <c r="BN121" s="290">
        <f>IF(('Synthèse PER'!P121="A faire")*AND('Synthèse PER'!E121="Agriculture"),'Synthèse PER'!L121,0)</f>
        <v>0</v>
      </c>
      <c r="BO121" s="290">
        <f>IF(('Synthèse PER'!P121="A faire")*AND('Synthèse PER'!E121="Industrie"),'Synthèse PER'!L121,0)</f>
        <v>0</v>
      </c>
      <c r="BP121" s="290">
        <f>IF(('Synthèse PER'!P121="A faire")*AND('Synthèse PER'!E121="Logement"),'Synthèse PER'!L121,0)</f>
        <v>0</v>
      </c>
      <c r="BQ121" s="290">
        <f>IF(('Synthèse PER'!P121="A faire")*AND('Synthèse PER'!E121="Tertiaire"),'Synthèse PER'!L121,0)</f>
        <v>0</v>
      </c>
      <c r="BR121" s="290">
        <f>IF(('Synthèse PER'!P121="A faire")*AND('Synthèse PER'!E121="Transport"),'Synthèse PER'!L121,0)</f>
        <v>0</v>
      </c>
      <c r="BS121" s="290">
        <f>IF(('Synthèse PER'!P121="A faire")*AND('Synthèse PER'!E121="Communal"),'Synthèse PER'!L121,0)</f>
        <v>0</v>
      </c>
      <c r="BT121" s="290">
        <f>IF(('Synthèse PER'!Q121="A faire")*AND('Synthèse PER'!F121="Communal"),'Synthèse PER'!M121,0)</f>
        <v>0</v>
      </c>
    </row>
    <row r="122" spans="1:82" s="139" customFormat="1" ht="15" customHeight="1" x14ac:dyDescent="0.25">
      <c r="A122" s="371" t="s">
        <v>629</v>
      </c>
      <c r="B122" s="414" t="str">
        <f>'ADA-13'!B$3:E$3</f>
        <v>Gestion communale</v>
      </c>
      <c r="C122" s="419" t="str">
        <f>'ADA-13'!$B$8</f>
        <v>Bâtiments publics</v>
      </c>
      <c r="D122" s="133" t="str">
        <f>'ADA-13'!$B$9</f>
        <v>Autonomie énergétique des bâtiments publics</v>
      </c>
      <c r="E122" s="133" t="str">
        <f>'ADA-13'!$B$4</f>
        <v>Territoire</v>
      </c>
      <c r="F122" s="133" t="str">
        <f>'ADA-13'!$B$12</f>
        <v>AC MESSANCY</v>
      </c>
      <c r="G122" s="133" t="str">
        <f>'ADA-13'!$B$6</f>
        <v>Néant</v>
      </c>
      <c r="H122" s="134">
        <f>'ADA-13'!$B$17</f>
        <v>500000</v>
      </c>
      <c r="I122" s="133" t="str">
        <f>'ADA-13'!$B$7</f>
        <v>Néant</v>
      </c>
      <c r="J122" s="134">
        <f>'ADA-13'!$B$18</f>
        <v>200000</v>
      </c>
      <c r="K122" s="134">
        <f>'ADA-13'!$B$21</f>
        <v>1</v>
      </c>
      <c r="L122" s="134">
        <f>'ADA-13'!$B$22</f>
        <v>0</v>
      </c>
      <c r="M122" s="135">
        <f>'ADA-13'!$B$24</f>
        <v>300000</v>
      </c>
      <c r="N122" s="135">
        <f>'ADA-13'!$B$19/1000</f>
        <v>0</v>
      </c>
      <c r="O122" s="136">
        <f t="shared" si="108"/>
        <v>0</v>
      </c>
      <c r="P122" s="137" t="str">
        <f>'ADA-13'!$B$5</f>
        <v>A faire</v>
      </c>
      <c r="Q122" s="140">
        <f>'ADA-13'!$B$16</f>
        <v>2030</v>
      </c>
      <c r="R122" s="284" t="str">
        <f t="shared" si="109"/>
        <v/>
      </c>
      <c r="S122" s="138">
        <f t="shared" si="92"/>
        <v>0</v>
      </c>
      <c r="T122" s="138">
        <f t="shared" si="93"/>
        <v>0</v>
      </c>
      <c r="U122" s="138">
        <f t="shared" si="94"/>
        <v>0</v>
      </c>
      <c r="V122" s="138">
        <f t="shared" si="95"/>
        <v>0</v>
      </c>
      <c r="W122" s="138">
        <f t="shared" si="96"/>
        <v>0</v>
      </c>
      <c r="X122" s="138">
        <f t="shared" si="97"/>
        <v>0</v>
      </c>
      <c r="Y122" s="138">
        <f t="shared" si="98"/>
        <v>0</v>
      </c>
      <c r="AA122" s="287">
        <f>IF(('Synthèse PER'!P122="A faire")*AND('Synthèse PER'!F122="Agriculture"),'Synthèse PER'!H122,0)</f>
        <v>0</v>
      </c>
      <c r="AB122" s="287">
        <f>IF(('Synthèse PER'!P122="A faire")*AND('Synthèse PER'!F122="Industrie"),'Synthèse PER'!H122,0)</f>
        <v>0</v>
      </c>
      <c r="AC122" s="287">
        <f>IF(('Synthèse PER'!P122="A faire")*AND('Synthèse PER'!F122="Citoyen"),'Synthèse PER'!H122,0)</f>
        <v>0</v>
      </c>
      <c r="AD122" s="287">
        <f>IF(('Synthèse PER'!P122="A faire")*AND('Synthèse PER'!F122="IDELUX"),'Synthèse PER'!H122,0)</f>
        <v>0</v>
      </c>
      <c r="AE122" s="290">
        <f>IF(('Synthèse PER'!P122="A faire")*AND('Synthèse PER'!F122="AC MESSANCY"),'Synthèse PER'!H122,0)</f>
        <v>500000</v>
      </c>
      <c r="AF122" s="287">
        <f>IF(('Synthèse PER'!P122="A faire")*AND('Synthèse PER'!F122="Tertiaire"),'Synthèse PER'!H122,0)</f>
        <v>0</v>
      </c>
      <c r="AG122" s="288"/>
      <c r="AH122" s="290">
        <f>IF(('Synthèse PER'!P122="A faire")*AND('Synthèse PER'!F122="Agriculture"),'Synthèse PER'!J122,0)</f>
        <v>0</v>
      </c>
      <c r="AI122" s="290">
        <f>IF(('Synthèse PER'!P122="A faire")*AND('Synthèse PER'!F122="Industrie"),'Synthèse PER'!J122,0)</f>
        <v>0</v>
      </c>
      <c r="AJ122" s="290">
        <f>IF(('Synthèse PER'!P122="A faire")*AND('Synthèse PER'!F122="Citoyen"),'Synthèse PER'!J122,0)</f>
        <v>0</v>
      </c>
      <c r="AK122" s="290">
        <f>IF(('Synthèse PER'!P122="A faire")*AND('Synthèse PER'!F122="IDELUX"),'Synthèse PER'!J122,0)</f>
        <v>0</v>
      </c>
      <c r="AL122" s="290">
        <f>IF(('Synthèse PER'!P122="A faire")*AND('Synthèse PER'!F122="AC MESSANCY"),'Synthèse PER'!J122,0)</f>
        <v>200000</v>
      </c>
      <c r="AM122" s="290">
        <f>IF(('Synthèse PER'!P122="A faire")*AND('Synthèse PER'!F122="Tertiaire"),'Synthèse PER'!J122,0)</f>
        <v>0</v>
      </c>
      <c r="AN122" s="288"/>
      <c r="AO122" s="290">
        <f>IF(('Synthèse PER'!P122="A faire")*AND('Synthèse PER'!E122="Territoire"),'Synthèse PER'!H122,0)</f>
        <v>500000</v>
      </c>
      <c r="AP122" s="290">
        <f>IF(('Synthèse PER'!P122="A faire")*AND('Synthèse PER'!E122="Agriculture"),'Synthèse PER'!H122,0)</f>
        <v>0</v>
      </c>
      <c r="AQ122" s="290">
        <f>IF(('Synthèse PER'!P122="A faire")*AND('Synthèse PER'!E122="Industrie"),'Synthèse PER'!H122,0)</f>
        <v>0</v>
      </c>
      <c r="AR122" s="290">
        <f>IF(('Synthèse PER'!P122="A faire")*AND('Synthèse PER'!E122="Logement"),'Synthèse PER'!H122,0)</f>
        <v>0</v>
      </c>
      <c r="AS122" s="290">
        <f>IF(('Synthèse PER'!P122="A faire")*AND('Synthèse PER'!E122="Tertiaire"),'Synthèse PER'!H122,0)</f>
        <v>0</v>
      </c>
      <c r="AT122" s="290">
        <f>IF(('Synthèse PER'!P122="A faire")*AND('Synthèse PER'!E122="Transport"),'Synthèse PER'!H122,0)</f>
        <v>0</v>
      </c>
      <c r="AU122" s="290">
        <f>IF(('Synthèse PER'!P122="A faire")*AND('Synthèse PER'!E122="Communal"),'Synthèse PER'!H122,0)</f>
        <v>0</v>
      </c>
      <c r="AV122" s="288"/>
      <c r="AW122" s="290">
        <f>IF(('Synthèse PER'!P122="A faire")*AND('Synthèse PER'!E122="Territoire"),'Synthèse PER'!J122,0)</f>
        <v>200000</v>
      </c>
      <c r="AX122" s="290">
        <f>IF(('Synthèse PER'!P122="A faire")*AND('Synthèse PER'!E122="Agriculture"),'Synthèse PER'!J122,0)</f>
        <v>0</v>
      </c>
      <c r="AY122" s="290">
        <f>IF(('Synthèse PER'!P122="A faire")*AND('Synthèse PER'!E122="Industrie"),'Synthèse PER'!J122,0)</f>
        <v>0</v>
      </c>
      <c r="AZ122" s="290">
        <f>IF(('Synthèse PER'!P122="A faire")*AND('Synthèse PER'!E122="Logement"),'Synthèse PER'!J122,0)</f>
        <v>0</v>
      </c>
      <c r="BA122" s="290">
        <f>IF(('Synthèse PER'!P122="A faire")*AND('Synthèse PER'!E122="Tertiaire"),'Synthèse PER'!J122,0)</f>
        <v>0</v>
      </c>
      <c r="BB122" s="290">
        <f>IF(('Synthèse PER'!P122="A faire")*AND('Synthèse PER'!E122="Transport"),'Synthèse PER'!J122,0)</f>
        <v>0</v>
      </c>
      <c r="BC122" s="290">
        <f>IF(('Synthèse PER'!P122="A faire")*AND('Synthèse PER'!E122="Communal"),'Synthèse PER'!J122,0)</f>
        <v>0</v>
      </c>
      <c r="BD122" s="288"/>
      <c r="BE122" s="290">
        <f>IF(('Synthèse PER'!P122="A faire")*AND('Synthèse PER'!E122="Territoire"),'Synthèse PER'!K122,0)</f>
        <v>1</v>
      </c>
      <c r="BF122" s="290">
        <f>IF(('Synthèse PER'!P122="A faire")*AND('Synthèse PER'!E122="Agriculture"),'Synthèse PER'!K122,0)</f>
        <v>0</v>
      </c>
      <c r="BG122" s="290">
        <f>IF(('Synthèse PER'!P122="A faire")*AND('Synthèse PER'!E122="Industrie"),'Synthèse PER'!K122,0)</f>
        <v>0</v>
      </c>
      <c r="BH122" s="290">
        <f>IF(('Synthèse PER'!P122="A faire")*AND('Synthèse PER'!E122="Logement"),'Synthèse PER'!K122,0)</f>
        <v>0</v>
      </c>
      <c r="BI122" s="290">
        <f>IF(('Synthèse PER'!P122="A faire")*AND('Synthèse PER'!E122="Tertiaire"),'Synthèse PER'!K122,0)</f>
        <v>0</v>
      </c>
      <c r="BJ122" s="290">
        <f>IF(('Synthèse PER'!P122="A faire")*AND('Synthèse PER'!E122="Transport"),'Synthèse PER'!K122,0)</f>
        <v>0</v>
      </c>
      <c r="BK122" s="290">
        <f>IF(('Synthèse PER'!P122="A faire")*AND('Synthèse PER'!E122="Communal"),'Synthèse PER'!K122,0)</f>
        <v>0</v>
      </c>
      <c r="BL122" s="288"/>
      <c r="BM122" s="290">
        <f>IF(('Synthèse PER'!P122="A faire")*AND('Synthèse PER'!E122="Territoire"),'Synthèse PER'!L122,0)</f>
        <v>0</v>
      </c>
      <c r="BN122" s="290">
        <f>IF(('Synthèse PER'!P122="A faire")*AND('Synthèse PER'!E122="Agriculture"),'Synthèse PER'!L122,0)</f>
        <v>0</v>
      </c>
      <c r="BO122" s="290">
        <f>IF(('Synthèse PER'!P122="A faire")*AND('Synthèse PER'!E122="Industrie"),'Synthèse PER'!L122,0)</f>
        <v>0</v>
      </c>
      <c r="BP122" s="290">
        <f>IF(('Synthèse PER'!P122="A faire")*AND('Synthèse PER'!E122="Logement"),'Synthèse PER'!L122,0)</f>
        <v>0</v>
      </c>
      <c r="BQ122" s="290">
        <f>IF(('Synthèse PER'!P122="A faire")*AND('Synthèse PER'!E122="Tertiaire"),'Synthèse PER'!L122,0)</f>
        <v>0</v>
      </c>
      <c r="BR122" s="290">
        <f>IF(('Synthèse PER'!P122="A faire")*AND('Synthèse PER'!E122="Transport"),'Synthèse PER'!L122,0)</f>
        <v>0</v>
      </c>
      <c r="BS122" s="290">
        <f>IF(('Synthèse PER'!P122="A faire")*AND('Synthèse PER'!E122="Communal"),'Synthèse PER'!L122,0)</f>
        <v>0</v>
      </c>
      <c r="BT122" s="290">
        <f>IF(('Synthèse PER'!Q122="A faire")*AND('Synthèse PER'!F122="Communal"),'Synthèse PER'!M122,0)</f>
        <v>0</v>
      </c>
    </row>
    <row r="123" spans="1:82" s="139" customFormat="1" ht="15" customHeight="1" x14ac:dyDescent="0.25">
      <c r="A123" s="371" t="s">
        <v>784</v>
      </c>
      <c r="B123" s="414" t="str">
        <f>'ADA-20'!B$3:E$3</f>
        <v>Aménagement du territoire</v>
      </c>
      <c r="C123" s="419" t="str">
        <f>'ADA-20'!$B$8</f>
        <v>Coulées de boues</v>
      </c>
      <c r="D123" s="133" t="str">
        <f>'ADA-20'!$B$9</f>
        <v>Limitation des coulées de boues</v>
      </c>
      <c r="E123" s="133" t="str">
        <f>'ADA-20'!$B$4</f>
        <v>Territoire</v>
      </c>
      <c r="F123" s="133" t="str">
        <f>'ADA-20'!$B$12</f>
        <v>AC MESSANCY</v>
      </c>
      <c r="G123" s="133" t="str">
        <f>'ADA-20'!$B$6</f>
        <v>Néant</v>
      </c>
      <c r="H123" s="134">
        <f>'ADA-20'!$B$17</f>
        <v>100000</v>
      </c>
      <c r="I123" s="133" t="str">
        <f>'ADA-20'!$B$7</f>
        <v>Néant</v>
      </c>
      <c r="J123" s="134">
        <f>'ADA-20'!$B$18</f>
        <v>0</v>
      </c>
      <c r="K123" s="134">
        <f>'ADA-20'!$B$21</f>
        <v>1</v>
      </c>
      <c r="L123" s="134">
        <f>'ADA-20'!$B$22</f>
        <v>0</v>
      </c>
      <c r="M123" s="135">
        <f>'ADA-20'!$B$24</f>
        <v>100000</v>
      </c>
      <c r="N123" s="135">
        <f>'ADA-20'!$B$19/1000</f>
        <v>0</v>
      </c>
      <c r="O123" s="136">
        <f t="shared" si="108"/>
        <v>0</v>
      </c>
      <c r="P123" s="137" t="str">
        <f>'ADA-20'!$B$5</f>
        <v>A faire</v>
      </c>
      <c r="Q123" s="140">
        <f>'ADA-20'!$B$16</f>
        <v>2030</v>
      </c>
      <c r="R123" s="284" t="str">
        <f t="shared" si="109"/>
        <v/>
      </c>
      <c r="S123" s="138">
        <f t="shared" si="92"/>
        <v>0</v>
      </c>
      <c r="T123" s="138">
        <f t="shared" si="93"/>
        <v>0</v>
      </c>
      <c r="U123" s="138">
        <f t="shared" si="94"/>
        <v>0</v>
      </c>
      <c r="V123" s="138">
        <f t="shared" si="95"/>
        <v>0</v>
      </c>
      <c r="W123" s="138">
        <f t="shared" si="96"/>
        <v>0</v>
      </c>
      <c r="X123" s="138">
        <f t="shared" si="97"/>
        <v>0</v>
      </c>
      <c r="Y123" s="138">
        <f t="shared" si="98"/>
        <v>0</v>
      </c>
      <c r="AA123" s="287">
        <f>IF(('Synthèse PER'!P123="A faire")*AND('Synthèse PER'!F123="Agriculture"),'Synthèse PER'!H123,0)</f>
        <v>0</v>
      </c>
      <c r="AB123" s="287">
        <f>IF(('Synthèse PER'!P123="A faire")*AND('Synthèse PER'!F123="Industrie"),'Synthèse PER'!H123,0)</f>
        <v>0</v>
      </c>
      <c r="AC123" s="287">
        <f>IF(('Synthèse PER'!P123="A faire")*AND('Synthèse PER'!F123="Citoyen"),'Synthèse PER'!H123,0)</f>
        <v>0</v>
      </c>
      <c r="AD123" s="287">
        <f>IF(('Synthèse PER'!P123="A faire")*AND('Synthèse PER'!F123="IDELUX"),'Synthèse PER'!H123,0)</f>
        <v>0</v>
      </c>
      <c r="AE123" s="290">
        <f>IF(('Synthèse PER'!P123="A faire")*AND('Synthèse PER'!F123="AC MESSANCY"),'Synthèse PER'!H123,0)</f>
        <v>100000</v>
      </c>
      <c r="AF123" s="287">
        <f>IF(('Synthèse PER'!P123="A faire")*AND('Synthèse PER'!F123="Tertiaire"),'Synthèse PER'!H123,0)</f>
        <v>0</v>
      </c>
      <c r="AG123" s="288"/>
      <c r="AH123" s="290">
        <f>IF(('Synthèse PER'!P123="A faire")*AND('Synthèse PER'!F123="Agriculture"),'Synthèse PER'!J123,0)</f>
        <v>0</v>
      </c>
      <c r="AI123" s="290">
        <f>IF(('Synthèse PER'!P123="A faire")*AND('Synthèse PER'!F123="Industrie"),'Synthèse PER'!J123,0)</f>
        <v>0</v>
      </c>
      <c r="AJ123" s="290">
        <f>IF(('Synthèse PER'!P123="A faire")*AND('Synthèse PER'!F123="Citoyen"),'Synthèse PER'!J123,0)</f>
        <v>0</v>
      </c>
      <c r="AK123" s="290">
        <f>IF(('Synthèse PER'!P123="A faire")*AND('Synthèse PER'!F123="IDELUX"),'Synthèse PER'!J123,0)</f>
        <v>0</v>
      </c>
      <c r="AL123" s="290">
        <f>IF(('Synthèse PER'!P123="A faire")*AND('Synthèse PER'!F123="AC MESSANCY"),'Synthèse PER'!J123,0)</f>
        <v>0</v>
      </c>
      <c r="AM123" s="290">
        <f>IF(('Synthèse PER'!P123="A faire")*AND('Synthèse PER'!F123="Tertiaire"),'Synthèse PER'!J123,0)</f>
        <v>0</v>
      </c>
      <c r="AN123" s="288"/>
      <c r="AO123" s="290">
        <f>IF(('Synthèse PER'!P123="A faire")*AND('Synthèse PER'!E123="Territoire"),'Synthèse PER'!H123,0)</f>
        <v>100000</v>
      </c>
      <c r="AP123" s="290">
        <f>IF(('Synthèse PER'!P123="A faire")*AND('Synthèse PER'!E123="Agriculture"),'Synthèse PER'!H123,0)</f>
        <v>0</v>
      </c>
      <c r="AQ123" s="290">
        <f>IF(('Synthèse PER'!P123="A faire")*AND('Synthèse PER'!E123="Industrie"),'Synthèse PER'!H123,0)</f>
        <v>0</v>
      </c>
      <c r="AR123" s="290">
        <f>IF(('Synthèse PER'!P123="A faire")*AND('Synthèse PER'!E123="Logement"),'Synthèse PER'!H123,0)</f>
        <v>0</v>
      </c>
      <c r="AS123" s="290">
        <f>IF(('Synthèse PER'!P123="A faire")*AND('Synthèse PER'!E123="Tertiaire"),'Synthèse PER'!H123,0)</f>
        <v>0</v>
      </c>
      <c r="AT123" s="290">
        <f>IF(('Synthèse PER'!P123="A faire")*AND('Synthèse PER'!E123="Transport"),'Synthèse PER'!H123,0)</f>
        <v>0</v>
      </c>
      <c r="AU123" s="290">
        <f>IF(('Synthèse PER'!P123="A faire")*AND('Synthèse PER'!E123="Communal"),'Synthèse PER'!H123,0)</f>
        <v>0</v>
      </c>
      <c r="AV123" s="288"/>
      <c r="AW123" s="290">
        <f>IF(('Synthèse PER'!P123="A faire")*AND('Synthèse PER'!E123="Territoire"),'Synthèse PER'!J123,0)</f>
        <v>0</v>
      </c>
      <c r="AX123" s="290">
        <f>IF(('Synthèse PER'!P123="A faire")*AND('Synthèse PER'!E123="Agriculture"),'Synthèse PER'!J123,0)</f>
        <v>0</v>
      </c>
      <c r="AY123" s="290">
        <f>IF(('Synthèse PER'!P123="A faire")*AND('Synthèse PER'!E123="Industrie"),'Synthèse PER'!J123,0)</f>
        <v>0</v>
      </c>
      <c r="AZ123" s="290">
        <f>IF(('Synthèse PER'!P123="A faire")*AND('Synthèse PER'!E123="Logement"),'Synthèse PER'!J123,0)</f>
        <v>0</v>
      </c>
      <c r="BA123" s="290">
        <f>IF(('Synthèse PER'!P123="A faire")*AND('Synthèse PER'!E123="Tertiaire"),'Synthèse PER'!J123,0)</f>
        <v>0</v>
      </c>
      <c r="BB123" s="290">
        <f>IF(('Synthèse PER'!P123="A faire")*AND('Synthèse PER'!E123="Transport"),'Synthèse PER'!J123,0)</f>
        <v>0</v>
      </c>
      <c r="BC123" s="290">
        <f>IF(('Synthèse PER'!P123="A faire")*AND('Synthèse PER'!E123="Communal"),'Synthèse PER'!J123,0)</f>
        <v>0</v>
      </c>
      <c r="BD123" s="288"/>
      <c r="BE123" s="290">
        <f>IF(('Synthèse PER'!P123="A faire")*AND('Synthèse PER'!E123="Territoire"),'Synthèse PER'!K123,0)</f>
        <v>1</v>
      </c>
      <c r="BF123" s="290">
        <f>IF(('Synthèse PER'!P123="A faire")*AND('Synthèse PER'!E123="Agriculture"),'Synthèse PER'!K123,0)</f>
        <v>0</v>
      </c>
      <c r="BG123" s="290">
        <f>IF(('Synthèse PER'!P123="A faire")*AND('Synthèse PER'!E123="Industrie"),'Synthèse PER'!K123,0)</f>
        <v>0</v>
      </c>
      <c r="BH123" s="290">
        <f>IF(('Synthèse PER'!P123="A faire")*AND('Synthèse PER'!E123="Logement"),'Synthèse PER'!K123,0)</f>
        <v>0</v>
      </c>
      <c r="BI123" s="290">
        <f>IF(('Synthèse PER'!P123="A faire")*AND('Synthèse PER'!E123="Tertiaire"),'Synthèse PER'!K123,0)</f>
        <v>0</v>
      </c>
      <c r="BJ123" s="290">
        <f>IF(('Synthèse PER'!P123="A faire")*AND('Synthèse PER'!E123="Transport"),'Synthèse PER'!K123,0)</f>
        <v>0</v>
      </c>
      <c r="BK123" s="290">
        <f>IF(('Synthèse PER'!P123="A faire")*AND('Synthèse PER'!E123="Communal"),'Synthèse PER'!K123,0)</f>
        <v>0</v>
      </c>
      <c r="BL123" s="288"/>
      <c r="BM123" s="290">
        <f>IF(('Synthèse PER'!P123="A faire")*AND('Synthèse PER'!E123="Territoire"),'Synthèse PER'!L123,0)</f>
        <v>0</v>
      </c>
      <c r="BN123" s="290">
        <f>IF(('Synthèse PER'!P123="A faire")*AND('Synthèse PER'!E123="Agriculture"),'Synthèse PER'!L123,0)</f>
        <v>0</v>
      </c>
      <c r="BO123" s="290">
        <f>IF(('Synthèse PER'!P123="A faire")*AND('Synthèse PER'!E123="Industrie"),'Synthèse PER'!L123,0)</f>
        <v>0</v>
      </c>
      <c r="BP123" s="290">
        <f>IF(('Synthèse PER'!P123="A faire")*AND('Synthèse PER'!E123="Logement"),'Synthèse PER'!L123,0)</f>
        <v>0</v>
      </c>
      <c r="BQ123" s="290">
        <f>IF(('Synthèse PER'!P123="A faire")*AND('Synthèse PER'!E123="Tertiaire"),'Synthèse PER'!L123,0)</f>
        <v>0</v>
      </c>
      <c r="BR123" s="290">
        <f>IF(('Synthèse PER'!P123="A faire")*AND('Synthèse PER'!E123="Transport"),'Synthèse PER'!L123,0)</f>
        <v>0</v>
      </c>
      <c r="BS123" s="290">
        <f>IF(('Synthèse PER'!P123="A faire")*AND('Synthèse PER'!E123="Communal"),'Synthèse PER'!L123,0)</f>
        <v>0</v>
      </c>
      <c r="BT123" s="290">
        <f>IF(('Synthèse PER'!Q123="A faire")*AND('Synthèse PER'!F123="Communal"),'Synthèse PER'!M123,0)</f>
        <v>0</v>
      </c>
    </row>
    <row r="124" spans="1:82" s="139" customFormat="1" ht="15" customHeight="1" x14ac:dyDescent="0.25">
      <c r="A124" s="371" t="s">
        <v>783</v>
      </c>
      <c r="B124" s="414" t="str">
        <f>'ADA-21'!B$3:E$3</f>
        <v>Aménagement du territoire</v>
      </c>
      <c r="C124" s="419" t="str">
        <f>'ADA-21'!$B$8</f>
        <v>Inondations</v>
      </c>
      <c r="D124" s="133" t="str">
        <f>'ADA-21'!$B$9</f>
        <v xml:space="preserve">Dispositifs pour eaux pluviales </v>
      </c>
      <c r="E124" s="133" t="str">
        <f>'ADA-21'!$B$4</f>
        <v>Territoire</v>
      </c>
      <c r="F124" s="133" t="str">
        <f>'ADA-21'!$B$12</f>
        <v>AC MESSANCY</v>
      </c>
      <c r="G124" s="133" t="str">
        <f>'ADA-21'!$B$6</f>
        <v>Néant</v>
      </c>
      <c r="H124" s="134">
        <f>'ADA-21'!$B$17</f>
        <v>0</v>
      </c>
      <c r="I124" s="133" t="str">
        <f>'ADA-21'!$B$7</f>
        <v>Néant</v>
      </c>
      <c r="J124" s="134">
        <f>'ADA-21'!$B$18</f>
        <v>0</v>
      </c>
      <c r="K124" s="134">
        <f>'ADA-21'!$B$21</f>
        <v>1</v>
      </c>
      <c r="L124" s="134">
        <f>'ADA-21'!$B$22</f>
        <v>0</v>
      </c>
      <c r="M124" s="135">
        <f>'ADA-21'!$B$24</f>
        <v>0</v>
      </c>
      <c r="N124" s="135">
        <f>'ADA-21'!$B$19/1000</f>
        <v>0</v>
      </c>
      <c r="O124" s="136">
        <f t="shared" si="108"/>
        <v>0</v>
      </c>
      <c r="P124" s="137" t="str">
        <f>'ADA-21'!$B$5</f>
        <v>Ne pas réaliser</v>
      </c>
      <c r="Q124" s="140">
        <f>'ADA-21'!$B$16</f>
        <v>0</v>
      </c>
      <c r="R124" s="284" t="str">
        <f t="shared" si="109"/>
        <v/>
      </c>
      <c r="S124" s="138">
        <f t="shared" si="92"/>
        <v>0</v>
      </c>
      <c r="T124" s="138">
        <f t="shared" si="93"/>
        <v>0</v>
      </c>
      <c r="U124" s="138">
        <f t="shared" si="94"/>
        <v>0</v>
      </c>
      <c r="V124" s="138">
        <f t="shared" si="95"/>
        <v>0</v>
      </c>
      <c r="W124" s="138">
        <f t="shared" si="96"/>
        <v>0</v>
      </c>
      <c r="X124" s="138">
        <f t="shared" si="97"/>
        <v>0</v>
      </c>
      <c r="Y124" s="138">
        <f t="shared" si="98"/>
        <v>0</v>
      </c>
      <c r="AA124" s="287">
        <f>IF(('Synthèse PER'!P124="A faire")*AND('Synthèse PER'!F124="Agriculture"),'Synthèse PER'!H124,0)</f>
        <v>0</v>
      </c>
      <c r="AB124" s="287">
        <f>IF(('Synthèse PER'!P124="A faire")*AND('Synthèse PER'!F124="Industrie"),'Synthèse PER'!H124,0)</f>
        <v>0</v>
      </c>
      <c r="AC124" s="287">
        <f>IF(('Synthèse PER'!P124="A faire")*AND('Synthèse PER'!F124="Citoyen"),'Synthèse PER'!H124,0)</f>
        <v>0</v>
      </c>
      <c r="AD124" s="287">
        <f>IF(('Synthèse PER'!P124="A faire")*AND('Synthèse PER'!F124="IDELUX"),'Synthèse PER'!H124,0)</f>
        <v>0</v>
      </c>
      <c r="AE124" s="290">
        <f>IF(('Synthèse PER'!P124="A faire")*AND('Synthèse PER'!F124="AC MESSANCY"),'Synthèse PER'!H124,0)</f>
        <v>0</v>
      </c>
      <c r="AF124" s="287">
        <f>IF(('Synthèse PER'!P124="A faire")*AND('Synthèse PER'!F124="Tertiaire"),'Synthèse PER'!H124,0)</f>
        <v>0</v>
      </c>
      <c r="AG124" s="288"/>
      <c r="AH124" s="290">
        <f>IF(('Synthèse PER'!P124="A faire")*AND('Synthèse PER'!F124="Agriculture"),'Synthèse PER'!J124,0)</f>
        <v>0</v>
      </c>
      <c r="AI124" s="290">
        <f>IF(('Synthèse PER'!P124="A faire")*AND('Synthèse PER'!F124="Industrie"),'Synthèse PER'!J124,0)</f>
        <v>0</v>
      </c>
      <c r="AJ124" s="290">
        <f>IF(('Synthèse PER'!P124="A faire")*AND('Synthèse PER'!F124="Citoyen"),'Synthèse PER'!J124,0)</f>
        <v>0</v>
      </c>
      <c r="AK124" s="290">
        <f>IF(('Synthèse PER'!P124="A faire")*AND('Synthèse PER'!F124="IDELUX"),'Synthèse PER'!J124,0)</f>
        <v>0</v>
      </c>
      <c r="AL124" s="290">
        <f>IF(('Synthèse PER'!P124="A faire")*AND('Synthèse PER'!F124="AC MESSANCY"),'Synthèse PER'!J124,0)</f>
        <v>0</v>
      </c>
      <c r="AM124" s="290">
        <f>IF(('Synthèse PER'!P124="A faire")*AND('Synthèse PER'!F124="Tertiaire"),'Synthèse PER'!J124,0)</f>
        <v>0</v>
      </c>
      <c r="AN124" s="288"/>
      <c r="AO124" s="290">
        <f>IF(('Synthèse PER'!P124="A faire")*AND('Synthèse PER'!E124="Territoire"),'Synthèse PER'!H124,0)</f>
        <v>0</v>
      </c>
      <c r="AP124" s="290">
        <f>IF(('Synthèse PER'!P124="A faire")*AND('Synthèse PER'!E124="Agriculture"),'Synthèse PER'!H124,0)</f>
        <v>0</v>
      </c>
      <c r="AQ124" s="290">
        <f>IF(('Synthèse PER'!P124="A faire")*AND('Synthèse PER'!E124="Industrie"),'Synthèse PER'!H124,0)</f>
        <v>0</v>
      </c>
      <c r="AR124" s="290">
        <f>IF(('Synthèse PER'!P124="A faire")*AND('Synthèse PER'!E124="Logement"),'Synthèse PER'!H124,0)</f>
        <v>0</v>
      </c>
      <c r="AS124" s="290">
        <f>IF(('Synthèse PER'!P124="A faire")*AND('Synthèse PER'!E124="Tertiaire"),'Synthèse PER'!H124,0)</f>
        <v>0</v>
      </c>
      <c r="AT124" s="290">
        <f>IF(('Synthèse PER'!P124="A faire")*AND('Synthèse PER'!E124="Transport"),'Synthèse PER'!H124,0)</f>
        <v>0</v>
      </c>
      <c r="AU124" s="290">
        <f>IF(('Synthèse PER'!P124="A faire")*AND('Synthèse PER'!E124="Communal"),'Synthèse PER'!H124,0)</f>
        <v>0</v>
      </c>
      <c r="AV124" s="288"/>
      <c r="AW124" s="290">
        <f>IF(('Synthèse PER'!P124="A faire")*AND('Synthèse PER'!E124="Territoire"),'Synthèse PER'!J124,0)</f>
        <v>0</v>
      </c>
      <c r="AX124" s="290">
        <f>IF(('Synthèse PER'!P124="A faire")*AND('Synthèse PER'!E124="Agriculture"),'Synthèse PER'!J124,0)</f>
        <v>0</v>
      </c>
      <c r="AY124" s="290">
        <f>IF(('Synthèse PER'!P124="A faire")*AND('Synthèse PER'!E124="Industrie"),'Synthèse PER'!J124,0)</f>
        <v>0</v>
      </c>
      <c r="AZ124" s="290">
        <f>IF(('Synthèse PER'!P124="A faire")*AND('Synthèse PER'!E124="Logement"),'Synthèse PER'!J124,0)</f>
        <v>0</v>
      </c>
      <c r="BA124" s="290">
        <f>IF(('Synthèse PER'!P124="A faire")*AND('Synthèse PER'!E124="Tertiaire"),'Synthèse PER'!J124,0)</f>
        <v>0</v>
      </c>
      <c r="BB124" s="290">
        <f>IF(('Synthèse PER'!P124="A faire")*AND('Synthèse PER'!E124="Transport"),'Synthèse PER'!J124,0)</f>
        <v>0</v>
      </c>
      <c r="BC124" s="290">
        <f>IF(('Synthèse PER'!P124="A faire")*AND('Synthèse PER'!E124="Communal"),'Synthèse PER'!J124,0)</f>
        <v>0</v>
      </c>
      <c r="BD124" s="288"/>
      <c r="BE124" s="290">
        <f>IF(('Synthèse PER'!P124="A faire")*AND('Synthèse PER'!E124="Territoire"),'Synthèse PER'!K124,0)</f>
        <v>0</v>
      </c>
      <c r="BF124" s="290">
        <f>IF(('Synthèse PER'!P124="A faire")*AND('Synthèse PER'!E124="Agriculture"),'Synthèse PER'!K124,0)</f>
        <v>0</v>
      </c>
      <c r="BG124" s="290">
        <f>IF(('Synthèse PER'!P124="A faire")*AND('Synthèse PER'!E124="Industrie"),'Synthèse PER'!K124,0)</f>
        <v>0</v>
      </c>
      <c r="BH124" s="290">
        <f>IF(('Synthèse PER'!P124="A faire")*AND('Synthèse PER'!E124="Logement"),'Synthèse PER'!K124,0)</f>
        <v>0</v>
      </c>
      <c r="BI124" s="290">
        <f>IF(('Synthèse PER'!P124="A faire")*AND('Synthèse PER'!E124="Tertiaire"),'Synthèse PER'!K124,0)</f>
        <v>0</v>
      </c>
      <c r="BJ124" s="290">
        <f>IF(('Synthèse PER'!P124="A faire")*AND('Synthèse PER'!E124="Transport"),'Synthèse PER'!K124,0)</f>
        <v>0</v>
      </c>
      <c r="BK124" s="290">
        <f>IF(('Synthèse PER'!P124="A faire")*AND('Synthèse PER'!E124="Communal"),'Synthèse PER'!K124,0)</f>
        <v>0</v>
      </c>
      <c r="BL124" s="288"/>
      <c r="BM124" s="290">
        <f>IF(('Synthèse PER'!P124="A faire")*AND('Synthèse PER'!E124="Territoire"),'Synthèse PER'!L124,0)</f>
        <v>0</v>
      </c>
      <c r="BN124" s="290">
        <f>IF(('Synthèse PER'!P124="A faire")*AND('Synthèse PER'!E124="Agriculture"),'Synthèse PER'!L124,0)</f>
        <v>0</v>
      </c>
      <c r="BO124" s="290">
        <f>IF(('Synthèse PER'!P124="A faire")*AND('Synthèse PER'!E124="Industrie"),'Synthèse PER'!L124,0)</f>
        <v>0</v>
      </c>
      <c r="BP124" s="290">
        <f>IF(('Synthèse PER'!P124="A faire")*AND('Synthèse PER'!E124="Logement"),'Synthèse PER'!L124,0)</f>
        <v>0</v>
      </c>
      <c r="BQ124" s="290">
        <f>IF(('Synthèse PER'!P124="A faire")*AND('Synthèse PER'!E124="Tertiaire"),'Synthèse PER'!L124,0)</f>
        <v>0</v>
      </c>
      <c r="BR124" s="290">
        <f>IF(('Synthèse PER'!P124="A faire")*AND('Synthèse PER'!E124="Transport"),'Synthèse PER'!L124,0)</f>
        <v>0</v>
      </c>
      <c r="BS124" s="290">
        <f>IF(('Synthèse PER'!P124="A faire")*AND('Synthèse PER'!E124="Communal"),'Synthèse PER'!L124,0)</f>
        <v>0</v>
      </c>
      <c r="BT124" s="290">
        <f>IF(('Synthèse PER'!Q124="A faire")*AND('Synthèse PER'!F124="Communal"),'Synthèse PER'!M124,0)</f>
        <v>0</v>
      </c>
    </row>
    <row r="125" spans="1:82" s="139" customFormat="1" ht="15" customHeight="1" x14ac:dyDescent="0.25">
      <c r="A125" s="371" t="s">
        <v>782</v>
      </c>
      <c r="B125" s="414" t="str">
        <f>'ADA-22'!B$3:E$3</f>
        <v>Aménagement du territoire</v>
      </c>
      <c r="C125" s="419" t="str">
        <f>'ADA-22'!$B$8</f>
        <v>Bocage</v>
      </c>
      <c r="D125" s="133" t="str">
        <f>'ADA-22'!$B$9</f>
        <v>Renforcement du maillage vert</v>
      </c>
      <c r="E125" s="133" t="str">
        <f>'ADA-22'!$B$4</f>
        <v>Territoire</v>
      </c>
      <c r="F125" s="133" t="str">
        <f>'ADA-22'!$B$12</f>
        <v>AC MESSANCY</v>
      </c>
      <c r="G125" s="133" t="str">
        <f>'ADA-22'!$B$6</f>
        <v>Néant</v>
      </c>
      <c r="H125" s="134">
        <f>'ADA-22'!$B$17</f>
        <v>180000</v>
      </c>
      <c r="I125" s="133" t="str">
        <f>'ADA-22'!$B$7</f>
        <v>Néant</v>
      </c>
      <c r="J125" s="134">
        <f>'ADA-22'!$B$18</f>
        <v>0</v>
      </c>
      <c r="K125" s="134">
        <f>'ADA-22'!$B$21</f>
        <v>1</v>
      </c>
      <c r="L125" s="134">
        <f>'ADA-22'!$B$22</f>
        <v>0</v>
      </c>
      <c r="M125" s="135">
        <f>'ADA-22'!$B$24</f>
        <v>180000</v>
      </c>
      <c r="N125" s="135">
        <f>'ADA-22'!$B$19/1000</f>
        <v>0</v>
      </c>
      <c r="O125" s="136">
        <f t="shared" si="108"/>
        <v>0</v>
      </c>
      <c r="P125" s="137" t="str">
        <f>'ADA-22'!$B$5</f>
        <v>A faire</v>
      </c>
      <c r="Q125" s="140">
        <f>'ADA-22'!$B$16</f>
        <v>2030</v>
      </c>
      <c r="R125" s="284" t="str">
        <f t="shared" si="109"/>
        <v/>
      </c>
      <c r="S125" s="138">
        <f t="shared" si="92"/>
        <v>0</v>
      </c>
      <c r="T125" s="138">
        <f t="shared" si="93"/>
        <v>0</v>
      </c>
      <c r="U125" s="138">
        <f t="shared" si="94"/>
        <v>0</v>
      </c>
      <c r="V125" s="138">
        <f t="shared" si="95"/>
        <v>0</v>
      </c>
      <c r="W125" s="138">
        <f t="shared" si="96"/>
        <v>0</v>
      </c>
      <c r="X125" s="138">
        <f t="shared" si="97"/>
        <v>0</v>
      </c>
      <c r="Y125" s="138">
        <f t="shared" si="98"/>
        <v>0</v>
      </c>
      <c r="AA125" s="287">
        <f>IF(('Synthèse PER'!P125="A faire")*AND('Synthèse PER'!F125="Agriculture"),'Synthèse PER'!H125,0)</f>
        <v>0</v>
      </c>
      <c r="AB125" s="287">
        <f>IF(('Synthèse PER'!P125="A faire")*AND('Synthèse PER'!F125="Industrie"),'Synthèse PER'!H125,0)</f>
        <v>0</v>
      </c>
      <c r="AC125" s="287">
        <f>IF(('Synthèse PER'!P125="A faire")*AND('Synthèse PER'!F125="Citoyen"),'Synthèse PER'!H125,0)</f>
        <v>0</v>
      </c>
      <c r="AD125" s="287">
        <f>IF(('Synthèse PER'!P125="A faire")*AND('Synthèse PER'!F125="IDELUX"),'Synthèse PER'!H125,0)</f>
        <v>0</v>
      </c>
      <c r="AE125" s="290">
        <f>IF(('Synthèse PER'!P125="A faire")*AND('Synthèse PER'!F125="AC MESSANCY"),'Synthèse PER'!H125,0)</f>
        <v>180000</v>
      </c>
      <c r="AF125" s="287">
        <f>IF(('Synthèse PER'!P125="A faire")*AND('Synthèse PER'!F125="Tertiaire"),'Synthèse PER'!H125,0)</f>
        <v>0</v>
      </c>
      <c r="AG125" s="288"/>
      <c r="AH125" s="290">
        <f>IF(('Synthèse PER'!P125="A faire")*AND('Synthèse PER'!F125="Agriculture"),'Synthèse PER'!J125,0)</f>
        <v>0</v>
      </c>
      <c r="AI125" s="290">
        <f>IF(('Synthèse PER'!P125="A faire")*AND('Synthèse PER'!F125="Industrie"),'Synthèse PER'!J125,0)</f>
        <v>0</v>
      </c>
      <c r="AJ125" s="290">
        <f>IF(('Synthèse PER'!P125="A faire")*AND('Synthèse PER'!F125="Citoyen"),'Synthèse PER'!J125,0)</f>
        <v>0</v>
      </c>
      <c r="AK125" s="290">
        <f>IF(('Synthèse PER'!P125="A faire")*AND('Synthèse PER'!F125="IDELUX"),'Synthèse PER'!J125,0)</f>
        <v>0</v>
      </c>
      <c r="AL125" s="290">
        <f>IF(('Synthèse PER'!P125="A faire")*AND('Synthèse PER'!F125="AC MESSANCY"),'Synthèse PER'!J125,0)</f>
        <v>0</v>
      </c>
      <c r="AM125" s="290">
        <f>IF(('Synthèse PER'!P125="A faire")*AND('Synthèse PER'!F125="Tertiaire"),'Synthèse PER'!J125,0)</f>
        <v>0</v>
      </c>
      <c r="AN125" s="288"/>
      <c r="AO125" s="290">
        <f>IF(('Synthèse PER'!P125="A faire")*AND('Synthèse PER'!E125="Territoire"),'Synthèse PER'!H125,0)</f>
        <v>180000</v>
      </c>
      <c r="AP125" s="290">
        <f>IF(('Synthèse PER'!P125="A faire")*AND('Synthèse PER'!E125="Agriculture"),'Synthèse PER'!H125,0)</f>
        <v>0</v>
      </c>
      <c r="AQ125" s="290">
        <f>IF(('Synthèse PER'!P125="A faire")*AND('Synthèse PER'!E125="Industrie"),'Synthèse PER'!H125,0)</f>
        <v>0</v>
      </c>
      <c r="AR125" s="290">
        <f>IF(('Synthèse PER'!P125="A faire")*AND('Synthèse PER'!E125="Logement"),'Synthèse PER'!H125,0)</f>
        <v>0</v>
      </c>
      <c r="AS125" s="290">
        <f>IF(('Synthèse PER'!P125="A faire")*AND('Synthèse PER'!E125="Tertiaire"),'Synthèse PER'!H125,0)</f>
        <v>0</v>
      </c>
      <c r="AT125" s="290">
        <f>IF(('Synthèse PER'!P125="A faire")*AND('Synthèse PER'!E125="Transport"),'Synthèse PER'!H125,0)</f>
        <v>0</v>
      </c>
      <c r="AU125" s="290">
        <f>IF(('Synthèse PER'!P125="A faire")*AND('Synthèse PER'!E125="Communal"),'Synthèse PER'!H125,0)</f>
        <v>0</v>
      </c>
      <c r="AV125" s="288"/>
      <c r="AW125" s="290">
        <f>IF(('Synthèse PER'!P125="A faire")*AND('Synthèse PER'!E125="Territoire"),'Synthèse PER'!J125,0)</f>
        <v>0</v>
      </c>
      <c r="AX125" s="290">
        <f>IF(('Synthèse PER'!P125="A faire")*AND('Synthèse PER'!E125="Agriculture"),'Synthèse PER'!J125,0)</f>
        <v>0</v>
      </c>
      <c r="AY125" s="290">
        <f>IF(('Synthèse PER'!P125="A faire")*AND('Synthèse PER'!E125="Industrie"),'Synthèse PER'!J125,0)</f>
        <v>0</v>
      </c>
      <c r="AZ125" s="290">
        <f>IF(('Synthèse PER'!P125="A faire")*AND('Synthèse PER'!E125="Logement"),'Synthèse PER'!J125,0)</f>
        <v>0</v>
      </c>
      <c r="BA125" s="290">
        <f>IF(('Synthèse PER'!P125="A faire")*AND('Synthèse PER'!E125="Tertiaire"),'Synthèse PER'!J125,0)</f>
        <v>0</v>
      </c>
      <c r="BB125" s="290">
        <f>IF(('Synthèse PER'!P125="A faire")*AND('Synthèse PER'!E125="Transport"),'Synthèse PER'!J125,0)</f>
        <v>0</v>
      </c>
      <c r="BC125" s="290">
        <f>IF(('Synthèse PER'!P125="A faire")*AND('Synthèse PER'!E125="Communal"),'Synthèse PER'!J125,0)</f>
        <v>0</v>
      </c>
      <c r="BD125" s="288"/>
      <c r="BE125" s="290">
        <f>IF(('Synthèse PER'!P125="A faire")*AND('Synthèse PER'!E125="Territoire"),'Synthèse PER'!K125,0)</f>
        <v>1</v>
      </c>
      <c r="BF125" s="290">
        <f>IF(('Synthèse PER'!P125="A faire")*AND('Synthèse PER'!E125="Agriculture"),'Synthèse PER'!K125,0)</f>
        <v>0</v>
      </c>
      <c r="BG125" s="290">
        <f>IF(('Synthèse PER'!P125="A faire")*AND('Synthèse PER'!E125="Industrie"),'Synthèse PER'!K125,0)</f>
        <v>0</v>
      </c>
      <c r="BH125" s="290">
        <f>IF(('Synthèse PER'!P125="A faire")*AND('Synthèse PER'!E125="Logement"),'Synthèse PER'!K125,0)</f>
        <v>0</v>
      </c>
      <c r="BI125" s="290">
        <f>IF(('Synthèse PER'!P125="A faire")*AND('Synthèse PER'!E125="Tertiaire"),'Synthèse PER'!K125,0)</f>
        <v>0</v>
      </c>
      <c r="BJ125" s="290">
        <f>IF(('Synthèse PER'!P125="A faire")*AND('Synthèse PER'!E125="Transport"),'Synthèse PER'!K125,0)</f>
        <v>0</v>
      </c>
      <c r="BK125" s="290">
        <f>IF(('Synthèse PER'!P125="A faire")*AND('Synthèse PER'!E125="Communal"),'Synthèse PER'!K125,0)</f>
        <v>0</v>
      </c>
      <c r="BL125" s="288"/>
      <c r="BM125" s="290">
        <f>IF(('Synthèse PER'!P125="A faire")*AND('Synthèse PER'!E125="Territoire"),'Synthèse PER'!L125,0)</f>
        <v>0</v>
      </c>
      <c r="BN125" s="290">
        <f>IF(('Synthèse PER'!P125="A faire")*AND('Synthèse PER'!E125="Agriculture"),'Synthèse PER'!L125,0)</f>
        <v>0</v>
      </c>
      <c r="BO125" s="290">
        <f>IF(('Synthèse PER'!P125="A faire")*AND('Synthèse PER'!E125="Industrie"),'Synthèse PER'!L125,0)</f>
        <v>0</v>
      </c>
      <c r="BP125" s="290">
        <f>IF(('Synthèse PER'!P125="A faire")*AND('Synthèse PER'!E125="Logement"),'Synthèse PER'!L125,0)</f>
        <v>0</v>
      </c>
      <c r="BQ125" s="290">
        <f>IF(('Synthèse PER'!P125="A faire")*AND('Synthèse PER'!E125="Tertiaire"),'Synthèse PER'!L125,0)</f>
        <v>0</v>
      </c>
      <c r="BR125" s="290">
        <f>IF(('Synthèse PER'!P125="A faire")*AND('Synthèse PER'!E125="Transport"),'Synthèse PER'!L125,0)</f>
        <v>0</v>
      </c>
      <c r="BS125" s="290">
        <f>IF(('Synthèse PER'!P125="A faire")*AND('Synthèse PER'!E125="Communal"),'Synthèse PER'!L125,0)</f>
        <v>0</v>
      </c>
      <c r="BT125" s="290">
        <f>IF(('Synthèse PER'!Q125="A faire")*AND('Synthèse PER'!F125="Communal"),'Synthèse PER'!M125,0)</f>
        <v>0</v>
      </c>
    </row>
    <row r="126" spans="1:82" s="139" customFormat="1" ht="15" customHeight="1" x14ac:dyDescent="0.25">
      <c r="A126" s="371" t="s">
        <v>781</v>
      </c>
      <c r="B126" s="414" t="str">
        <f>'ADA-23'!B$3:E$3</f>
        <v>Aménagement du territoire</v>
      </c>
      <c r="C126" s="419" t="str">
        <f>'ADA-23'!$B$8</f>
        <v>Forêts</v>
      </c>
      <c r="D126" s="133" t="str">
        <f>'ADA-23'!$B$9</f>
        <v>Prévention des incendies de forêt</v>
      </c>
      <c r="E126" s="133" t="str">
        <f>'ADA-23'!$B$4</f>
        <v>Territoire</v>
      </c>
      <c r="F126" s="133" t="str">
        <f>'ADA-23'!$B$12</f>
        <v>AC MESSANCY</v>
      </c>
      <c r="G126" s="133" t="str">
        <f>'ADA-23'!$B$6</f>
        <v>Néant</v>
      </c>
      <c r="H126" s="134">
        <f>'ADA-23'!$B$17</f>
        <v>0</v>
      </c>
      <c r="I126" s="133" t="str">
        <f>'ADA-23'!$B$7</f>
        <v>Néant</v>
      </c>
      <c r="J126" s="134">
        <f>'ADA-23'!$B$18</f>
        <v>0</v>
      </c>
      <c r="K126" s="134">
        <f>'ADA-23'!$B$21</f>
        <v>1</v>
      </c>
      <c r="L126" s="134">
        <f>'ADA-23'!$B$22</f>
        <v>0</v>
      </c>
      <c r="M126" s="135">
        <f>'ADA-23'!$B$24</f>
        <v>0</v>
      </c>
      <c r="N126" s="135">
        <f>'ADA-23'!$B$19/1000</f>
        <v>0</v>
      </c>
      <c r="O126" s="136">
        <f>IF(H126=0,0,N126/(H126-J126)*1000)</f>
        <v>0</v>
      </c>
      <c r="P126" s="137" t="str">
        <f>'ADA-23'!$B$5</f>
        <v>A faire</v>
      </c>
      <c r="Q126" s="140">
        <f>'ADA-23'!$B$16</f>
        <v>2030</v>
      </c>
      <c r="R126" s="284" t="str">
        <f>IF(P126="terminé", N126,"")</f>
        <v/>
      </c>
      <c r="S126" s="138">
        <f t="shared" si="92"/>
        <v>0</v>
      </c>
      <c r="T126" s="138">
        <f t="shared" si="93"/>
        <v>0</v>
      </c>
      <c r="U126" s="138">
        <f t="shared" si="94"/>
        <v>0</v>
      </c>
      <c r="V126" s="138">
        <f t="shared" si="95"/>
        <v>0</v>
      </c>
      <c r="W126" s="138">
        <f t="shared" si="96"/>
        <v>0</v>
      </c>
      <c r="X126" s="138">
        <f t="shared" si="97"/>
        <v>0</v>
      </c>
      <c r="Y126" s="138">
        <f t="shared" si="98"/>
        <v>0</v>
      </c>
      <c r="AA126" s="287">
        <f>IF(('Synthèse PER'!P126="A faire")*AND('Synthèse PER'!F126="Agriculture"),'Synthèse PER'!H126,0)</f>
        <v>0</v>
      </c>
      <c r="AB126" s="287">
        <f>IF(('Synthèse PER'!P126="A faire")*AND('Synthèse PER'!F126="Industrie"),'Synthèse PER'!H126,0)</f>
        <v>0</v>
      </c>
      <c r="AC126" s="287">
        <f>IF(('Synthèse PER'!P126="A faire")*AND('Synthèse PER'!F126="Citoyen"),'Synthèse PER'!H126,0)</f>
        <v>0</v>
      </c>
      <c r="AD126" s="287">
        <f>IF(('Synthèse PER'!P126="A faire")*AND('Synthèse PER'!F126="IDELUX"),'Synthèse PER'!H126,0)</f>
        <v>0</v>
      </c>
      <c r="AE126" s="290">
        <f>IF(('Synthèse PER'!P126="A faire")*AND('Synthèse PER'!F126="AC MESSANCY"),'Synthèse PER'!H126,0)</f>
        <v>0</v>
      </c>
      <c r="AF126" s="287">
        <f>IF(('Synthèse PER'!P126="A faire")*AND('Synthèse PER'!F126="Tertiaire"),'Synthèse PER'!H126,0)</f>
        <v>0</v>
      </c>
      <c r="AG126" s="288"/>
      <c r="AH126" s="290">
        <f>IF(('Synthèse PER'!P126="A faire")*AND('Synthèse PER'!F126="Agriculture"),'Synthèse PER'!J126,0)</f>
        <v>0</v>
      </c>
      <c r="AI126" s="290">
        <f>IF(('Synthèse PER'!P126="A faire")*AND('Synthèse PER'!F126="Industrie"),'Synthèse PER'!J126,0)</f>
        <v>0</v>
      </c>
      <c r="AJ126" s="290">
        <f>IF(('Synthèse PER'!P126="A faire")*AND('Synthèse PER'!F126="Citoyen"),'Synthèse PER'!J126,0)</f>
        <v>0</v>
      </c>
      <c r="AK126" s="290">
        <f>IF(('Synthèse PER'!P126="A faire")*AND('Synthèse PER'!F126="IDELUX"),'Synthèse PER'!J126,0)</f>
        <v>0</v>
      </c>
      <c r="AL126" s="290">
        <f>IF(('Synthèse PER'!P126="A faire")*AND('Synthèse PER'!F126="AC MESSANCY"),'Synthèse PER'!J126,0)</f>
        <v>0</v>
      </c>
      <c r="AM126" s="290">
        <f>IF(('Synthèse PER'!P126="A faire")*AND('Synthèse PER'!F126="Tertiaire"),'Synthèse PER'!J126,0)</f>
        <v>0</v>
      </c>
      <c r="AN126" s="288"/>
      <c r="AO126" s="290">
        <f>IF(('Synthèse PER'!P126="A faire")*AND('Synthèse PER'!E126="Territoire"),'Synthèse PER'!H126,0)</f>
        <v>0</v>
      </c>
      <c r="AP126" s="290">
        <f>IF(('Synthèse PER'!P126="A faire")*AND('Synthèse PER'!E126="Agriculture"),'Synthèse PER'!H126,0)</f>
        <v>0</v>
      </c>
      <c r="AQ126" s="290">
        <f>IF(('Synthèse PER'!P126="A faire")*AND('Synthèse PER'!E126="Industrie"),'Synthèse PER'!H126,0)</f>
        <v>0</v>
      </c>
      <c r="AR126" s="290">
        <f>IF(('Synthèse PER'!P126="A faire")*AND('Synthèse PER'!E126="Logement"),'Synthèse PER'!H126,0)</f>
        <v>0</v>
      </c>
      <c r="AS126" s="290">
        <f>IF(('Synthèse PER'!P126="A faire")*AND('Synthèse PER'!E126="Tertiaire"),'Synthèse PER'!H126,0)</f>
        <v>0</v>
      </c>
      <c r="AT126" s="290">
        <f>IF(('Synthèse PER'!P126="A faire")*AND('Synthèse PER'!E126="Transport"),'Synthèse PER'!H126,0)</f>
        <v>0</v>
      </c>
      <c r="AU126" s="290">
        <f>IF(('Synthèse PER'!P126="A faire")*AND('Synthèse PER'!E126="Communal"),'Synthèse PER'!H126,0)</f>
        <v>0</v>
      </c>
      <c r="AV126" s="288"/>
      <c r="AW126" s="290">
        <f>IF(('Synthèse PER'!P126="A faire")*AND('Synthèse PER'!E126="Territoire"),'Synthèse PER'!J126,0)</f>
        <v>0</v>
      </c>
      <c r="AX126" s="290">
        <f>IF(('Synthèse PER'!P126="A faire")*AND('Synthèse PER'!E126="Agriculture"),'Synthèse PER'!J126,0)</f>
        <v>0</v>
      </c>
      <c r="AY126" s="290">
        <f>IF(('Synthèse PER'!P126="A faire")*AND('Synthèse PER'!E126="Industrie"),'Synthèse PER'!J126,0)</f>
        <v>0</v>
      </c>
      <c r="AZ126" s="290">
        <f>IF(('Synthèse PER'!P126="A faire")*AND('Synthèse PER'!E126="Logement"),'Synthèse PER'!J126,0)</f>
        <v>0</v>
      </c>
      <c r="BA126" s="290">
        <f>IF(('Synthèse PER'!P126="A faire")*AND('Synthèse PER'!E126="Tertiaire"),'Synthèse PER'!J126,0)</f>
        <v>0</v>
      </c>
      <c r="BB126" s="290">
        <f>IF(('Synthèse PER'!P126="A faire")*AND('Synthèse PER'!E126="Transport"),'Synthèse PER'!J126,0)</f>
        <v>0</v>
      </c>
      <c r="BC126" s="290">
        <f>IF(('Synthèse PER'!P126="A faire")*AND('Synthèse PER'!E126="Communal"),'Synthèse PER'!J126,0)</f>
        <v>0</v>
      </c>
      <c r="BD126" s="288"/>
      <c r="BE126" s="290">
        <f>IF(('Synthèse PER'!P126="A faire")*AND('Synthèse PER'!E126="Territoire"),'Synthèse PER'!K126,0)</f>
        <v>1</v>
      </c>
      <c r="BF126" s="290">
        <f>IF(('Synthèse PER'!P126="A faire")*AND('Synthèse PER'!E126="Agriculture"),'Synthèse PER'!K126,0)</f>
        <v>0</v>
      </c>
      <c r="BG126" s="290">
        <f>IF(('Synthèse PER'!P126="A faire")*AND('Synthèse PER'!E126="Industrie"),'Synthèse PER'!K126,0)</f>
        <v>0</v>
      </c>
      <c r="BH126" s="290">
        <f>IF(('Synthèse PER'!P126="A faire")*AND('Synthèse PER'!E126="Logement"),'Synthèse PER'!K126,0)</f>
        <v>0</v>
      </c>
      <c r="BI126" s="290">
        <f>IF(('Synthèse PER'!P126="A faire")*AND('Synthèse PER'!E126="Tertiaire"),'Synthèse PER'!K126,0)</f>
        <v>0</v>
      </c>
      <c r="BJ126" s="290">
        <f>IF(('Synthèse PER'!P126="A faire")*AND('Synthèse PER'!E126="Transport"),'Synthèse PER'!K126,0)</f>
        <v>0</v>
      </c>
      <c r="BK126" s="290">
        <f>IF(('Synthèse PER'!P126="A faire")*AND('Synthèse PER'!E126="Communal"),'Synthèse PER'!K126,0)</f>
        <v>0</v>
      </c>
      <c r="BL126" s="288"/>
      <c r="BM126" s="290">
        <f>IF(('Synthèse PER'!P126="A faire")*AND('Synthèse PER'!E126="Territoire"),'Synthèse PER'!L126,0)</f>
        <v>0</v>
      </c>
      <c r="BN126" s="290">
        <f>IF(('Synthèse PER'!P126="A faire")*AND('Synthèse PER'!E126="Agriculture"),'Synthèse PER'!L126,0)</f>
        <v>0</v>
      </c>
      <c r="BO126" s="290">
        <f>IF(('Synthèse PER'!P126="A faire")*AND('Synthèse PER'!E126="Industrie"),'Synthèse PER'!L126,0)</f>
        <v>0</v>
      </c>
      <c r="BP126" s="290">
        <f>IF(('Synthèse PER'!P126="A faire")*AND('Synthèse PER'!E126="Logement"),'Synthèse PER'!L126,0)</f>
        <v>0</v>
      </c>
      <c r="BQ126" s="290">
        <f>IF(('Synthèse PER'!P126="A faire")*AND('Synthèse PER'!E126="Tertiaire"),'Synthèse PER'!L126,0)</f>
        <v>0</v>
      </c>
      <c r="BR126" s="290">
        <f>IF(('Synthèse PER'!P126="A faire")*AND('Synthèse PER'!E126="Transport"),'Synthèse PER'!L126,0)</f>
        <v>0</v>
      </c>
      <c r="BS126" s="290">
        <f>IF(('Synthèse PER'!P126="A faire")*AND('Synthèse PER'!E126="Communal"),'Synthèse PER'!L126,0)</f>
        <v>0</v>
      </c>
      <c r="BT126" s="290">
        <f>IF(('Synthèse PER'!Q126="A faire")*AND('Synthèse PER'!F126="Communal"),'Synthèse PER'!M126,0)</f>
        <v>0</v>
      </c>
    </row>
    <row r="127" spans="1:82" s="139" customFormat="1" ht="15" customHeight="1" x14ac:dyDescent="0.25">
      <c r="A127" s="406"/>
      <c r="B127" s="406"/>
      <c r="C127" s="362"/>
      <c r="D127" s="362"/>
      <c r="E127" s="362"/>
      <c r="F127" s="362"/>
      <c r="G127" s="362"/>
      <c r="H127" s="363"/>
      <c r="I127" s="362"/>
      <c r="J127" s="363"/>
      <c r="K127" s="363"/>
      <c r="L127" s="363"/>
      <c r="M127" s="364"/>
      <c r="N127" s="364"/>
      <c r="O127" s="365"/>
      <c r="P127" s="362"/>
      <c r="Q127" s="366"/>
      <c r="R127" s="366">
        <f>SUM(R110:R126)</f>
        <v>0</v>
      </c>
      <c r="S127" s="366">
        <f>SUM(S110:S126)</f>
        <v>0</v>
      </c>
      <c r="T127" s="366">
        <f t="shared" ref="T127:BT127" si="110">SUM(T110:T126)</f>
        <v>0</v>
      </c>
      <c r="U127" s="366">
        <f t="shared" si="110"/>
        <v>0</v>
      </c>
      <c r="V127" s="366">
        <f t="shared" si="110"/>
        <v>0</v>
      </c>
      <c r="W127" s="366">
        <f t="shared" si="110"/>
        <v>0</v>
      </c>
      <c r="X127" s="366">
        <f t="shared" si="110"/>
        <v>0</v>
      </c>
      <c r="Y127" s="366">
        <f t="shared" si="110"/>
        <v>0</v>
      </c>
      <c r="Z127" s="366">
        <f t="shared" si="110"/>
        <v>0</v>
      </c>
      <c r="AA127" s="366">
        <f t="shared" si="110"/>
        <v>0</v>
      </c>
      <c r="AB127" s="366">
        <f t="shared" si="110"/>
        <v>0</v>
      </c>
      <c r="AC127" s="366">
        <f t="shared" si="110"/>
        <v>0</v>
      </c>
      <c r="AD127" s="366">
        <f t="shared" si="110"/>
        <v>700000</v>
      </c>
      <c r="AE127" s="366">
        <f t="shared" si="110"/>
        <v>790000</v>
      </c>
      <c r="AF127" s="366">
        <f t="shared" si="110"/>
        <v>0</v>
      </c>
      <c r="AG127" s="366">
        <f t="shared" si="110"/>
        <v>0</v>
      </c>
      <c r="AH127" s="366">
        <f t="shared" si="110"/>
        <v>0</v>
      </c>
      <c r="AI127" s="366">
        <f t="shared" si="110"/>
        <v>0</v>
      </c>
      <c r="AJ127" s="366">
        <f t="shared" si="110"/>
        <v>0</v>
      </c>
      <c r="AK127" s="366">
        <f t="shared" si="110"/>
        <v>60000</v>
      </c>
      <c r="AL127" s="366">
        <f t="shared" si="110"/>
        <v>200000</v>
      </c>
      <c r="AM127" s="366">
        <f t="shared" si="110"/>
        <v>0</v>
      </c>
      <c r="AN127" s="366">
        <f t="shared" si="110"/>
        <v>0</v>
      </c>
      <c r="AO127" s="366">
        <f t="shared" si="110"/>
        <v>1490000</v>
      </c>
      <c r="AP127" s="366">
        <f t="shared" si="110"/>
        <v>0</v>
      </c>
      <c r="AQ127" s="366">
        <f t="shared" si="110"/>
        <v>0</v>
      </c>
      <c r="AR127" s="366">
        <f t="shared" si="110"/>
        <v>0</v>
      </c>
      <c r="AS127" s="366">
        <f t="shared" si="110"/>
        <v>0</v>
      </c>
      <c r="AT127" s="366">
        <f t="shared" si="110"/>
        <v>0</v>
      </c>
      <c r="AU127" s="366">
        <f t="shared" si="110"/>
        <v>0</v>
      </c>
      <c r="AV127" s="366">
        <f t="shared" si="110"/>
        <v>0</v>
      </c>
      <c r="AW127" s="366">
        <f t="shared" si="110"/>
        <v>260000</v>
      </c>
      <c r="AX127" s="366">
        <f t="shared" si="110"/>
        <v>0</v>
      </c>
      <c r="AY127" s="366">
        <f t="shared" si="110"/>
        <v>0</v>
      </c>
      <c r="AZ127" s="366">
        <f t="shared" si="110"/>
        <v>0</v>
      </c>
      <c r="BA127" s="366">
        <f t="shared" si="110"/>
        <v>0</v>
      </c>
      <c r="BB127" s="366">
        <f t="shared" si="110"/>
        <v>0</v>
      </c>
      <c r="BC127" s="366">
        <f t="shared" si="110"/>
        <v>0</v>
      </c>
      <c r="BD127" s="366">
        <f t="shared" si="110"/>
        <v>0</v>
      </c>
      <c r="BE127" s="366">
        <f t="shared" si="110"/>
        <v>7</v>
      </c>
      <c r="BF127" s="366">
        <f t="shared" si="110"/>
        <v>1</v>
      </c>
      <c r="BG127" s="366">
        <f t="shared" si="110"/>
        <v>0</v>
      </c>
      <c r="BH127" s="366">
        <f t="shared" si="110"/>
        <v>0</v>
      </c>
      <c r="BI127" s="366">
        <f t="shared" si="110"/>
        <v>0</v>
      </c>
      <c r="BJ127" s="366">
        <f t="shared" si="110"/>
        <v>0</v>
      </c>
      <c r="BK127" s="366">
        <f t="shared" si="110"/>
        <v>0</v>
      </c>
      <c r="BL127" s="366">
        <f t="shared" si="110"/>
        <v>0</v>
      </c>
      <c r="BM127" s="366">
        <f t="shared" si="110"/>
        <v>0</v>
      </c>
      <c r="BN127" s="366">
        <f t="shared" si="110"/>
        <v>0</v>
      </c>
      <c r="BO127" s="366">
        <f t="shared" si="110"/>
        <v>0</v>
      </c>
      <c r="BP127" s="366">
        <f t="shared" si="110"/>
        <v>0</v>
      </c>
      <c r="BQ127" s="366">
        <f t="shared" si="110"/>
        <v>0</v>
      </c>
      <c r="BR127" s="366">
        <f t="shared" si="110"/>
        <v>0</v>
      </c>
      <c r="BS127" s="366">
        <f t="shared" si="110"/>
        <v>0</v>
      </c>
      <c r="BT127" s="366">
        <f t="shared" si="110"/>
        <v>0</v>
      </c>
      <c r="BU127" s="366"/>
    </row>
    <row r="128" spans="1:82" s="139" customFormat="1" ht="15" customHeight="1" x14ac:dyDescent="0.25">
      <c r="A128" s="361"/>
      <c r="B128" s="406"/>
      <c r="C128" s="362"/>
      <c r="D128" s="362"/>
      <c r="E128" s="362"/>
      <c r="F128" s="362"/>
      <c r="G128" s="362"/>
      <c r="H128" s="363"/>
      <c r="I128" s="362"/>
      <c r="J128" s="363"/>
      <c r="K128" s="363"/>
      <c r="L128" s="363"/>
      <c r="M128" s="364"/>
      <c r="N128" s="364"/>
      <c r="O128" s="365"/>
      <c r="P128" s="362"/>
      <c r="Q128" s="366"/>
      <c r="R128" s="366">
        <f t="shared" ref="R128:AW128" si="111">SUM(R2:R126)</f>
        <v>29386.037295998725</v>
      </c>
      <c r="S128" s="366">
        <f t="shared" si="111"/>
        <v>0</v>
      </c>
      <c r="T128" s="366">
        <f t="shared" si="111"/>
        <v>0</v>
      </c>
      <c r="U128" s="366">
        <f t="shared" si="111"/>
        <v>12586.160973904669</v>
      </c>
      <c r="V128" s="366">
        <f t="shared" si="111"/>
        <v>14447.358442094219</v>
      </c>
      <c r="W128" s="366">
        <f t="shared" si="111"/>
        <v>1072.4031818181816</v>
      </c>
      <c r="X128" s="366">
        <f t="shared" si="111"/>
        <v>1076.9521981816583</v>
      </c>
      <c r="Y128" s="366">
        <f t="shared" si="111"/>
        <v>203.16249999999999</v>
      </c>
      <c r="Z128" s="366">
        <f t="shared" si="111"/>
        <v>0</v>
      </c>
      <c r="AA128" s="366">
        <f t="shared" si="111"/>
        <v>261400</v>
      </c>
      <c r="AB128" s="366">
        <f t="shared" si="111"/>
        <v>601000</v>
      </c>
      <c r="AC128" s="366">
        <f t="shared" si="111"/>
        <v>56916220</v>
      </c>
      <c r="AD128" s="366">
        <f t="shared" si="111"/>
        <v>1030000</v>
      </c>
      <c r="AE128" s="366">
        <f t="shared" si="111"/>
        <v>2412486.87</v>
      </c>
      <c r="AF128" s="366">
        <f t="shared" si="111"/>
        <v>97343.000000000015</v>
      </c>
      <c r="AG128" s="366">
        <f t="shared" si="111"/>
        <v>0</v>
      </c>
      <c r="AH128" s="366">
        <f t="shared" si="111"/>
        <v>88500</v>
      </c>
      <c r="AI128" s="366">
        <f t="shared" si="111"/>
        <v>19400</v>
      </c>
      <c r="AJ128" s="366">
        <f t="shared" si="111"/>
        <v>-229279.99999999953</v>
      </c>
      <c r="AK128" s="366">
        <f t="shared" si="111"/>
        <v>60000</v>
      </c>
      <c r="AL128" s="366">
        <f t="shared" si="111"/>
        <v>603427.11899999995</v>
      </c>
      <c r="AM128" s="366">
        <f t="shared" si="111"/>
        <v>49993.000000000015</v>
      </c>
      <c r="AN128" s="366">
        <f t="shared" si="111"/>
        <v>0</v>
      </c>
      <c r="AO128" s="366">
        <f t="shared" si="111"/>
        <v>1699410</v>
      </c>
      <c r="AP128" s="366">
        <f t="shared" si="111"/>
        <v>360400</v>
      </c>
      <c r="AQ128" s="366">
        <f t="shared" si="111"/>
        <v>506000</v>
      </c>
      <c r="AR128" s="366">
        <f t="shared" si="111"/>
        <v>18599720</v>
      </c>
      <c r="AS128" s="366">
        <f t="shared" si="111"/>
        <v>97343.000000000015</v>
      </c>
      <c r="AT128" s="366">
        <f t="shared" si="111"/>
        <v>39287500</v>
      </c>
      <c r="AU128" s="366">
        <f t="shared" si="111"/>
        <v>768076.87</v>
      </c>
      <c r="AV128" s="366">
        <f t="shared" si="111"/>
        <v>0</v>
      </c>
      <c r="AW128" s="366">
        <f t="shared" si="111"/>
        <v>260000</v>
      </c>
      <c r="AX128" s="366">
        <f t="shared" ref="AX128:BT128" si="112">SUM(AX2:AX126)</f>
        <v>107900</v>
      </c>
      <c r="AY128" s="366">
        <f t="shared" si="112"/>
        <v>0</v>
      </c>
      <c r="AZ128" s="366">
        <f t="shared" si="112"/>
        <v>-229279.99999999953</v>
      </c>
      <c r="BA128" s="366">
        <f t="shared" si="112"/>
        <v>49993.000000000015</v>
      </c>
      <c r="BB128" s="366">
        <f t="shared" si="112"/>
        <v>50000</v>
      </c>
      <c r="BC128" s="366">
        <f t="shared" si="112"/>
        <v>353427.11899999995</v>
      </c>
      <c r="BD128" s="366">
        <f t="shared" si="112"/>
        <v>0</v>
      </c>
      <c r="BE128" s="366">
        <f t="shared" si="112"/>
        <v>39079.885999999991</v>
      </c>
      <c r="BF128" s="366">
        <f t="shared" si="112"/>
        <v>31641.276271985571</v>
      </c>
      <c r="BG128" s="366">
        <f t="shared" si="112"/>
        <v>432611.29652933386</v>
      </c>
      <c r="BH128" s="366">
        <f t="shared" si="112"/>
        <v>1967714.2508772055</v>
      </c>
      <c r="BI128" s="366">
        <f t="shared" si="112"/>
        <v>154457.41576785903</v>
      </c>
      <c r="BJ128" s="366">
        <f t="shared" si="112"/>
        <v>2141774.3522074134</v>
      </c>
      <c r="BK128" s="366">
        <f t="shared" si="112"/>
        <v>54390.673473522125</v>
      </c>
      <c r="BL128" s="366">
        <f t="shared" si="112"/>
        <v>0</v>
      </c>
      <c r="BM128" s="366">
        <f t="shared" si="112"/>
        <v>0</v>
      </c>
      <c r="BN128" s="366">
        <f t="shared" si="112"/>
        <v>13478.010000000002</v>
      </c>
      <c r="BO128" s="366">
        <f t="shared" si="112"/>
        <v>28080</v>
      </c>
      <c r="BP128" s="366">
        <f t="shared" si="112"/>
        <v>0</v>
      </c>
      <c r="BQ128" s="366">
        <f t="shared" si="112"/>
        <v>0</v>
      </c>
      <c r="BR128" s="366">
        <f t="shared" si="112"/>
        <v>0</v>
      </c>
      <c r="BS128" s="366">
        <f t="shared" si="112"/>
        <v>0</v>
      </c>
      <c r="BT128" s="366">
        <f t="shared" si="112"/>
        <v>0</v>
      </c>
      <c r="BU128" s="366"/>
      <c r="BV128" s="366"/>
      <c r="BW128" s="366"/>
      <c r="BX128" s="366"/>
      <c r="BY128" s="366"/>
      <c r="BZ128" s="366"/>
      <c r="CA128" s="366"/>
      <c r="CB128" s="366"/>
      <c r="CC128" s="366"/>
      <c r="CD128" s="366"/>
    </row>
    <row r="129" spans="1:82" s="139" customFormat="1" ht="15" customHeight="1" x14ac:dyDescent="0.25">
      <c r="A129" s="361"/>
      <c r="B129" s="202"/>
      <c r="C129" s="30"/>
      <c r="D129" s="30"/>
      <c r="E129" s="30"/>
      <c r="F129" s="30"/>
      <c r="G129" s="30"/>
      <c r="H129" s="51"/>
      <c r="I129" s="51"/>
      <c r="J129" s="51"/>
      <c r="K129" s="51"/>
      <c r="L129" s="51"/>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66"/>
      <c r="BW129" s="366"/>
      <c r="BX129" s="366"/>
      <c r="BY129" s="366"/>
      <c r="BZ129" s="366"/>
      <c r="CA129" s="366"/>
      <c r="CB129" s="366"/>
      <c r="CC129" s="366"/>
      <c r="CD129" s="366"/>
    </row>
    <row r="130" spans="1:82" ht="15.75" x14ac:dyDescent="0.25">
      <c r="N130" s="942">
        <f>SUM(N2:N14)+SUM(N17:N23)+N25+SUM(N27:N32)+N37+N52+N53+N61+N62</f>
        <v>748.93006136761051</v>
      </c>
      <c r="R130" s="286">
        <f>R128-R127</f>
        <v>29386.037295998725</v>
      </c>
      <c r="S130" s="286">
        <f t="shared" ref="S130:BS130" si="113">S128-S127</f>
        <v>0</v>
      </c>
      <c r="T130" s="286">
        <f t="shared" si="113"/>
        <v>0</v>
      </c>
      <c r="U130" s="286">
        <f t="shared" si="113"/>
        <v>12586.160973904669</v>
      </c>
      <c r="V130" s="286">
        <f t="shared" si="113"/>
        <v>14447.358442094219</v>
      </c>
      <c r="W130" s="286">
        <f t="shared" si="113"/>
        <v>1072.4031818181816</v>
      </c>
      <c r="X130" s="286">
        <f t="shared" si="113"/>
        <v>1076.9521981816583</v>
      </c>
      <c r="Y130" s="286">
        <f t="shared" si="113"/>
        <v>203.16249999999999</v>
      </c>
      <c r="Z130" s="286">
        <f t="shared" si="113"/>
        <v>0</v>
      </c>
      <c r="AA130" s="286">
        <f t="shared" si="113"/>
        <v>261400</v>
      </c>
      <c r="AB130" s="286">
        <f t="shared" si="113"/>
        <v>601000</v>
      </c>
      <c r="AC130" s="286">
        <f t="shared" si="113"/>
        <v>56916220</v>
      </c>
      <c r="AD130" s="286">
        <f t="shared" si="113"/>
        <v>330000</v>
      </c>
      <c r="AE130" s="286">
        <f t="shared" si="113"/>
        <v>1622486.87</v>
      </c>
      <c r="AF130" s="286">
        <f t="shared" si="113"/>
        <v>97343.000000000015</v>
      </c>
      <c r="AG130" s="286">
        <f t="shared" si="113"/>
        <v>0</v>
      </c>
      <c r="AH130" s="286">
        <f t="shared" si="113"/>
        <v>88500</v>
      </c>
      <c r="AI130" s="286">
        <f t="shared" si="113"/>
        <v>19400</v>
      </c>
      <c r="AJ130" s="286">
        <f t="shared" si="113"/>
        <v>-229279.99999999953</v>
      </c>
      <c r="AK130" s="286">
        <f t="shared" si="113"/>
        <v>0</v>
      </c>
      <c r="AL130" s="286">
        <f t="shared" si="113"/>
        <v>403427.11899999995</v>
      </c>
      <c r="AM130" s="286">
        <f t="shared" si="113"/>
        <v>49993.000000000015</v>
      </c>
      <c r="AN130" s="286">
        <f t="shared" si="113"/>
        <v>0</v>
      </c>
      <c r="AO130" s="286">
        <f t="shared" si="113"/>
        <v>209410</v>
      </c>
      <c r="AP130" s="286">
        <f t="shared" si="113"/>
        <v>360400</v>
      </c>
      <c r="AQ130" s="286">
        <f t="shared" si="113"/>
        <v>506000</v>
      </c>
      <c r="AR130" s="286">
        <f t="shared" si="113"/>
        <v>18599720</v>
      </c>
      <c r="AS130" s="286">
        <f t="shared" si="113"/>
        <v>97343.000000000015</v>
      </c>
      <c r="AT130" s="286">
        <f t="shared" si="113"/>
        <v>39287500</v>
      </c>
      <c r="AU130" s="286">
        <f t="shared" si="113"/>
        <v>768076.87</v>
      </c>
      <c r="AV130" s="286">
        <f t="shared" si="113"/>
        <v>0</v>
      </c>
      <c r="AW130" s="286">
        <f t="shared" si="113"/>
        <v>0</v>
      </c>
      <c r="AX130" s="286">
        <f t="shared" si="113"/>
        <v>107900</v>
      </c>
      <c r="AY130" s="286">
        <f t="shared" si="113"/>
        <v>0</v>
      </c>
      <c r="AZ130" s="286">
        <f t="shared" si="113"/>
        <v>-229279.99999999953</v>
      </c>
      <c r="BA130" s="286">
        <f t="shared" si="113"/>
        <v>49993.000000000015</v>
      </c>
      <c r="BB130" s="286">
        <f t="shared" si="113"/>
        <v>50000</v>
      </c>
      <c r="BC130" s="286">
        <f t="shared" si="113"/>
        <v>353427.11899999995</v>
      </c>
      <c r="BD130" s="286">
        <f t="shared" si="113"/>
        <v>0</v>
      </c>
      <c r="BE130" s="286">
        <f t="shared" si="113"/>
        <v>39072.885999999991</v>
      </c>
      <c r="BF130" s="286">
        <f t="shared" si="113"/>
        <v>31640.276271985571</v>
      </c>
      <c r="BG130" s="286">
        <f t="shared" si="113"/>
        <v>432611.29652933386</v>
      </c>
      <c r="BH130" s="286">
        <f t="shared" si="113"/>
        <v>1967714.2508772055</v>
      </c>
      <c r="BI130" s="286">
        <f t="shared" si="113"/>
        <v>154457.41576785903</v>
      </c>
      <c r="BJ130" s="286">
        <f t="shared" si="113"/>
        <v>2141774.3522074134</v>
      </c>
      <c r="BK130" s="286">
        <f t="shared" si="113"/>
        <v>54390.673473522125</v>
      </c>
      <c r="BL130" s="286">
        <f t="shared" si="113"/>
        <v>0</v>
      </c>
      <c r="BM130" s="286">
        <f t="shared" si="113"/>
        <v>0</v>
      </c>
      <c r="BN130" s="286">
        <f t="shared" si="113"/>
        <v>13478.010000000002</v>
      </c>
      <c r="BO130" s="286">
        <f t="shared" si="113"/>
        <v>28080</v>
      </c>
      <c r="BP130" s="286">
        <f t="shared" si="113"/>
        <v>0</v>
      </c>
      <c r="BQ130" s="286">
        <f t="shared" si="113"/>
        <v>0</v>
      </c>
      <c r="BR130" s="286">
        <f t="shared" si="113"/>
        <v>0</v>
      </c>
      <c r="BS130" s="286">
        <f t="shared" si="113"/>
        <v>0</v>
      </c>
      <c r="BT130" s="286">
        <f>SUM(BT13:BT127)</f>
        <v>0</v>
      </c>
    </row>
    <row r="131" spans="1:82" x14ac:dyDescent="0.25">
      <c r="N131" s="943">
        <f>N56+N60</f>
        <v>1256.7372930272286</v>
      </c>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row>
    <row r="132" spans="1:82" x14ac:dyDescent="0.25">
      <c r="N132" s="944">
        <f>N15+N16+N33+SUM(N39:N51)+N57+N64+N65+N101+N102</f>
        <v>21651.864811977983</v>
      </c>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row>
    <row r="133" spans="1:82" x14ac:dyDescent="0.25">
      <c r="N133" s="945">
        <f>N109</f>
        <v>430.92539999999997</v>
      </c>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row>
    <row r="134" spans="1:82" x14ac:dyDescent="0.25">
      <c r="N134" s="946">
        <f>N35+N55+N58+N59</f>
        <v>16449.116178945944</v>
      </c>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row>
    <row r="135" spans="1:82" x14ac:dyDescent="0.25">
      <c r="N135" s="947">
        <f>SUM(N67:N82)+N34</f>
        <v>9137.1110247122706</v>
      </c>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row>
    <row r="136" spans="1:82" x14ac:dyDescent="0.25">
      <c r="N136" s="948">
        <f>SUM(N83:N99)-N96-N97</f>
        <v>1201.1031818181814</v>
      </c>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row>
    <row r="137" spans="1:82" x14ac:dyDescent="0.25">
      <c r="N137" s="949"/>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row>
    <row r="138" spans="1:82" x14ac:dyDescent="0.25">
      <c r="N138" s="950">
        <f>N54+N105+N108</f>
        <v>246.43763925923139</v>
      </c>
    </row>
  </sheetData>
  <conditionalFormatting sqref="R110:R126 R53 BV128:CD129 P127:BU128 P2:R52 P54:R60 R61:R66 P67:R109">
    <cfRule type="containsText" dxfId="410" priority="37" operator="containsText" text="Terminé">
      <formula>NOT(ISERROR(SEARCH("Terminé",P2)))</formula>
    </cfRule>
    <cfRule type="containsText" dxfId="409" priority="38" operator="containsText" text="En cours">
      <formula>NOT(ISERROR(SEARCH("En cours",P2)))</formula>
    </cfRule>
    <cfRule type="containsText" dxfId="408" priority="39" operator="containsText" text="A faire">
      <formula>NOT(ISERROR(SEARCH("A faire",P2)))</formula>
    </cfRule>
  </conditionalFormatting>
  <conditionalFormatting sqref="P53:Q53">
    <cfRule type="containsText" dxfId="407" priority="7" operator="containsText" text="Terminé">
      <formula>NOT(ISERROR(SEARCH("Terminé",P53)))</formula>
    </cfRule>
    <cfRule type="containsText" dxfId="406" priority="8" operator="containsText" text="En cours">
      <formula>NOT(ISERROR(SEARCH("En cours",P53)))</formula>
    </cfRule>
    <cfRule type="containsText" dxfId="405" priority="9" operator="containsText" text="A faire">
      <formula>NOT(ISERROR(SEARCH("A faire",P53)))</formula>
    </cfRule>
  </conditionalFormatting>
  <conditionalFormatting sqref="P110:Q126">
    <cfRule type="containsText" dxfId="404" priority="4" operator="containsText" text="Terminé">
      <formula>NOT(ISERROR(SEARCH("Terminé",P110)))</formula>
    </cfRule>
    <cfRule type="containsText" dxfId="403" priority="5" operator="containsText" text="En cours">
      <formula>NOT(ISERROR(SEARCH("En cours",P110)))</formula>
    </cfRule>
    <cfRule type="containsText" dxfId="402" priority="6" operator="containsText" text="A faire">
      <formula>NOT(ISERROR(SEARCH("A faire",P110)))</formula>
    </cfRule>
  </conditionalFormatting>
  <conditionalFormatting sqref="P61:Q66">
    <cfRule type="containsText" dxfId="401" priority="1" operator="containsText" text="Terminé">
      <formula>NOT(ISERROR(SEARCH("Terminé",P61)))</formula>
    </cfRule>
    <cfRule type="containsText" dxfId="400" priority="2" operator="containsText" text="En cours">
      <formula>NOT(ISERROR(SEARCH("En cours",P61)))</formula>
    </cfRule>
    <cfRule type="containsText" dxfId="399" priority="3" operator="containsText" text="A faire">
      <formula>NOT(ISERROR(SEARCH("A faire",P61)))</formula>
    </cfRule>
  </conditionalFormatting>
  <hyperlinks>
    <hyperlink ref="A2" location="'ADO-1'!A1" display="ADO-1"/>
    <hyperlink ref="A3" location="'ADO-2'!A1" display="ADO-2"/>
    <hyperlink ref="A4" location="'ADO-3'!A1" display="'ADO-3'!A1"/>
    <hyperlink ref="A5" location="'ADO-4'!A1" display="'ADO-4'!A1"/>
    <hyperlink ref="A6" location="'ADO-5'!A1" display="ADO-5"/>
    <hyperlink ref="A7" location="'ADO-6'!A1" display="ADO-6"/>
    <hyperlink ref="A13" location="'ADO-20'!A1" display="ADO-20"/>
    <hyperlink ref="A14:A21" location="'ADO-7'!A1" display="'ADO-7'!A1"/>
    <hyperlink ref="A14" location="'ADO-21'!A1" display="ADO-21"/>
    <hyperlink ref="A15" location="'ADO-22'!A1" display="ADO-22"/>
    <hyperlink ref="A16" location="'ADO-23'!A1" display="ADO-23"/>
    <hyperlink ref="A17" location="'ADO-24'!A1" display="ADO-24"/>
    <hyperlink ref="A18" location="'ADO-25'!A1" display="ADO-25"/>
    <hyperlink ref="A19" location="'ADO-26'!A1" display="ADO-26"/>
    <hyperlink ref="A20" location="'ADO-27'!A1" display="ADO-27"/>
    <hyperlink ref="A21" location="'ADO-28'!A1" display="ADO-28"/>
    <hyperlink ref="A31" location="'ADO-40'!A1" display="ADO-40"/>
    <hyperlink ref="A32" location="'ADO-41'!A1" display="ADO-41"/>
    <hyperlink ref="A33" location="'ADU-1'!A1" display="ADU-1"/>
    <hyperlink ref="A34" location="'ADU-2'!A1" display="'ADU-2'!A1"/>
    <hyperlink ref="A35" location="'ADU-3'!A1" display="ADU-3"/>
    <hyperlink ref="A36" location="'ADU-4'!A1" display="ADU-4"/>
    <hyperlink ref="A39" location="'ADU-7'!A1" display="ADU-7"/>
    <hyperlink ref="A42" location="'ADU-10'!A1" display="ADU-10"/>
    <hyperlink ref="A37" location="'ADU-5'!A1" display="ADU-5"/>
    <hyperlink ref="A40" location="'ADU-8'!A1" display="ADU-8"/>
    <hyperlink ref="A38" location="'ADU-6'!A1" display="ADU-6"/>
    <hyperlink ref="A41" location="'ADU-9'!A1" display="ADU-9"/>
    <hyperlink ref="A43" location="'ADU-11'!A1" display="ADU-11"/>
    <hyperlink ref="A44" location="'ADU-12'!A1" display="ADU-12"/>
    <hyperlink ref="A45" location="'ADU-13'!A1" display="ADU-13"/>
    <hyperlink ref="A46" location="'ADU-14'!A1" display="ADU-14"/>
    <hyperlink ref="A47" location="'ADU-15'!A1" display="ADU-15"/>
    <hyperlink ref="A48" location="'ADU-16'!A1" display="ADU-16"/>
    <hyperlink ref="A49" location="'ADU-17'!A1" display="ADU-17"/>
    <hyperlink ref="A50" location="'ADU-18'!A1" display="ADU-18"/>
    <hyperlink ref="A51" location="'ADU-19'!A1" display="ADU-19"/>
    <hyperlink ref="A52" location="'ADU-20'!A1" display="ADU-20"/>
    <hyperlink ref="A53" location="'ADU-21'!A1" display="ADU-21"/>
    <hyperlink ref="A54:A56" location="'ADU-21'!A1" display="'ADU-21'!A1"/>
    <hyperlink ref="A54" location="'ADU-22'!A1" display="ADU-22"/>
    <hyperlink ref="A55" location="'ADU-23'!A1" display="ADU-23"/>
    <hyperlink ref="A56" location="'ADU-24'!A1" display="ADU-24"/>
    <hyperlink ref="A67" location="'ADU-50'!A1" display="ADU-50"/>
    <hyperlink ref="A68" location="'ADU-51'!A1" display="ADU-51"/>
    <hyperlink ref="A69" location="'ADU-52'!A1" display="ADU-52"/>
    <hyperlink ref="A70" location="'ADU-53'!A1" display="ADU-53"/>
    <hyperlink ref="A71" location="'ADU-54'!A1" display="ADU-54"/>
    <hyperlink ref="A72" location="'ADU-55'!A1" display="ADU-55"/>
    <hyperlink ref="A73" location="'ADU-56'!A1" display="ADU-56"/>
    <hyperlink ref="A83" location="'ADU-70'!A1" display="ADU-70"/>
    <hyperlink ref="A84" location="'ADU-71'!A1" display="ADU-71"/>
    <hyperlink ref="A85" location="'ADU-72'!A1" display="ADU-72"/>
    <hyperlink ref="A86" location="'ADU-73'!A1" display="ADU-73"/>
    <hyperlink ref="A87" location="'ADU-74'!A1" display="ADU-74"/>
    <hyperlink ref="A88" location="'ADU-75'!A1" display="ADU-75"/>
    <hyperlink ref="A89" location="'ADU-76'!A1" display="ADU-76"/>
    <hyperlink ref="A91" location="'ADU-80'!A1" display="ADU-80"/>
    <hyperlink ref="A92" location="'ADU-81'!A1" display="ADU-81"/>
    <hyperlink ref="A93" location="'ADU-82'!A1" display="ADU-82"/>
    <hyperlink ref="A95" location="'ADU-90'!A1" display="ADU-90"/>
    <hyperlink ref="A96" location="'ADU-91'!A1" display="ADU-91"/>
    <hyperlink ref="A97" location="'ADU-92'!A1" display="ADU-92"/>
    <hyperlink ref="A101" location="'ADU-100'!A1" display="ADU-100"/>
    <hyperlink ref="A102" location="'ADU-101'!A1" display="ADU-101"/>
    <hyperlink ref="A103" location="'ADU-102'!A1" display="ADU-102"/>
    <hyperlink ref="A105" location="'ADU-121'!A1" display="ADU-121"/>
    <hyperlink ref="A106" location="'ADU-122'!A1" display="ADU-122"/>
    <hyperlink ref="A107" location="'ADU-123'!A1" display="ADU-123"/>
    <hyperlink ref="A108" location="'ADU-124'!A1" display="ADU-124"/>
    <hyperlink ref="A109" location="'ADU-140'!A1" display="ADU-140"/>
    <hyperlink ref="A110" location="'ADA-1'!A1" display="ADA-1"/>
    <hyperlink ref="A111" location="'ADA-2'!A1" display="ADA-2"/>
    <hyperlink ref="A112" location="'ADA-3'!A1" display="ADA-3"/>
    <hyperlink ref="A113" location="'ADA-4'!A1" display="ADA-4"/>
    <hyperlink ref="A114" location="'ADA-5'!A1" display="ADA-5"/>
    <hyperlink ref="A115" location="'ADA-6'!A1" display="ADA-6"/>
    <hyperlink ref="A116" location="'ADA-7'!A1" display="ADA-7"/>
    <hyperlink ref="A117" location="'ADA-8'!A1" display="ADA-8"/>
    <hyperlink ref="A118" location="'ADA-9'!A1" display="ADA-9"/>
    <hyperlink ref="A119" location="'ADA-10'!A1" display="ADA-10"/>
    <hyperlink ref="A120" location="'ADA-11'!A1" display="ADA-11"/>
    <hyperlink ref="A121" location="'ADA-12'!A1" display="ADA-12"/>
    <hyperlink ref="A122" location="'ADA-13'!A1" display="ADA-13"/>
    <hyperlink ref="A123" location="'ADA-20'!A1" display="ADA-20"/>
    <hyperlink ref="A124:A126" location="'ADA-14'!A1" display="ADA-14"/>
    <hyperlink ref="A124" location="'ADA-21'!A1" display="ADA-21"/>
    <hyperlink ref="A125" location="'ADA-22'!A1" display="ADA-22"/>
    <hyperlink ref="A126" location="'ADA-23'!A1" display="ADA-23"/>
    <hyperlink ref="A61" location="'ADU-30'!A1" display="ADU-30"/>
    <hyperlink ref="A62" location="'ADU-31'!A1" display="ADU-31"/>
    <hyperlink ref="A63" location="'ADU-32'!A1" display="ADU-32"/>
    <hyperlink ref="A64" location="'ADU-33'!A1" display="ADU-33"/>
    <hyperlink ref="A94" location="'ADU-83'!A1" display="ADU-83"/>
    <hyperlink ref="A90" location="'ADU-77'!A1" display="ADU-77"/>
    <hyperlink ref="A8" location="'ADO-7'!A1" display="ADO-7"/>
    <hyperlink ref="A9" location="'ADO-8'!A1" display="ADO-8"/>
    <hyperlink ref="A10" location="'ADO-9'!A1" display="ADO-9"/>
    <hyperlink ref="A22" location="'ADO-29'!A1" display="ADO-29"/>
    <hyperlink ref="A23" location="'ADO-30'!A1" display="ADO-30"/>
    <hyperlink ref="A24" location="'ADO-31'!A1" display="ADO-31"/>
    <hyperlink ref="A25" location="'ADO-32'!A1" display="ADO-32"/>
    <hyperlink ref="A26" location="'ADO-33'!A1" display="ADO-33"/>
    <hyperlink ref="A104" location="'ADU-103'!A1" display="ADU-103"/>
    <hyperlink ref="A57" location="'ADU-25'!A1" display="ADU-25"/>
    <hyperlink ref="A98" location="'ADU-93'!A1" display="ADU-93"/>
    <hyperlink ref="A99" location="'ADU-94'!A1" display="ADU-94"/>
    <hyperlink ref="A100" location="'ADU-95'!A1" display="ADU-95"/>
    <hyperlink ref="A76" location="'ADU-59'!A1" display="ADU-59"/>
    <hyperlink ref="A75" location="'ADU-58'!A1" display="ADU-58"/>
    <hyperlink ref="A74" location="'ADU-57'!A1" display="ADU-57"/>
    <hyperlink ref="A77" location="'ADU-60'!A1" display="ADU-60"/>
    <hyperlink ref="A11" location="'ADO-10'!A1" display="ADO-10"/>
    <hyperlink ref="A12" location="'ADO-11'!A1" display="ADO-11"/>
    <hyperlink ref="A27" location="'ADO-34'!A1" display="ADO-34"/>
    <hyperlink ref="A28" location="'ADO-35'!A1" display="ADO-35"/>
    <hyperlink ref="A78" location="'ADU-61'!A1" display="ADU-61"/>
    <hyperlink ref="A29" location="'ADO-36'!A1" display="ADO-36"/>
    <hyperlink ref="A30" location="'ADO-39'!A1" display="ADO-39"/>
    <hyperlink ref="A65" location="'ADU-34'!A1" display="ADU-34"/>
    <hyperlink ref="A66" location="'ADU-35'!A1" display="ADU-35"/>
    <hyperlink ref="A79" location="'ADU-62'!A1" display="ADU-62"/>
    <hyperlink ref="A80" location="'ADU-63'!A1" display="ADU-63"/>
    <hyperlink ref="A81" location="'ADU-64'!A1" display="ADU-64"/>
    <hyperlink ref="A82" location="'ADU-65'!A1" display="ADU-65"/>
    <hyperlink ref="A58" location="'ADU-26'!A1" display="ADU-26"/>
    <hyperlink ref="A59" location="'ADU-27'!A1" display="ADU-27"/>
    <hyperlink ref="A60" location="'ADU-28'!A1" display="ADU-28"/>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C13" workbookViewId="0">
      <selection activeCell="B8" sqref="B8:E8"/>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92</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424</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15" customHeight="1" x14ac:dyDescent="0.25">
      <c r="A8" s="169" t="s">
        <v>1</v>
      </c>
      <c r="B8" s="967" t="s">
        <v>31</v>
      </c>
      <c r="C8" s="967"/>
      <c r="D8" s="967"/>
      <c r="E8" s="967"/>
      <c r="G8" s="997" t="s">
        <v>936</v>
      </c>
      <c r="Z8" s="1028" t="s">
        <v>611</v>
      </c>
      <c r="AA8" s="1029"/>
      <c r="AB8" s="357">
        <v>0.26819999999999999</v>
      </c>
    </row>
    <row r="9" spans="1:28" x14ac:dyDescent="0.25">
      <c r="A9" s="169" t="s">
        <v>0</v>
      </c>
      <c r="B9" s="967" t="s">
        <v>421</v>
      </c>
      <c r="C9" s="967"/>
      <c r="D9" s="967"/>
      <c r="E9" s="967"/>
      <c r="G9" s="997"/>
      <c r="Z9" s="1028" t="s">
        <v>612</v>
      </c>
      <c r="AA9" s="1029"/>
      <c r="AB9" s="357">
        <v>3.1300000000000001E-2</v>
      </c>
    </row>
    <row r="10" spans="1:28" ht="15.75" x14ac:dyDescent="0.25">
      <c r="A10" s="169" t="s">
        <v>2</v>
      </c>
      <c r="B10" s="1034" t="s">
        <v>1108</v>
      </c>
      <c r="C10" s="1035"/>
      <c r="D10" s="1035"/>
      <c r="E10" s="1035"/>
      <c r="G10" s="997"/>
      <c r="M10" s="7"/>
      <c r="Z10" s="1028"/>
      <c r="AA10" s="1029"/>
      <c r="AB10" s="357"/>
    </row>
    <row r="11" spans="1:28" ht="32.25" customHeight="1" x14ac:dyDescent="0.25">
      <c r="A11" s="169" t="s">
        <v>29</v>
      </c>
      <c r="B11" s="1035" t="s">
        <v>448</v>
      </c>
      <c r="C11" s="1035"/>
      <c r="D11" s="1035"/>
      <c r="E11" s="1035"/>
      <c r="G11" s="254">
        <v>50</v>
      </c>
      <c r="H11" s="131" t="s">
        <v>576</v>
      </c>
      <c r="Z11" s="1028" t="s">
        <v>613</v>
      </c>
      <c r="AA11" s="1029"/>
      <c r="AB11" s="357">
        <v>0.26819999999999999</v>
      </c>
    </row>
    <row r="12" spans="1:28" ht="30" customHeight="1" x14ac:dyDescent="0.25">
      <c r="A12" s="169" t="s">
        <v>14</v>
      </c>
      <c r="B12" s="1010" t="s">
        <v>607</v>
      </c>
      <c r="C12" s="1010"/>
      <c r="D12" s="1010"/>
      <c r="E12" s="1010"/>
      <c r="Z12" s="1028" t="s">
        <v>614</v>
      </c>
      <c r="AA12" s="1029"/>
      <c r="AB12" s="357">
        <v>1.18E-2</v>
      </c>
    </row>
    <row r="13" spans="1:28" ht="30" customHeight="1" x14ac:dyDescent="0.25">
      <c r="A13" s="169" t="s">
        <v>3</v>
      </c>
      <c r="B13" s="1010"/>
      <c r="C13" s="1010"/>
      <c r="D13" s="1010"/>
      <c r="E13" s="1010"/>
      <c r="G13" s="59" t="s">
        <v>392</v>
      </c>
      <c r="H13" s="59" t="s">
        <v>210</v>
      </c>
      <c r="I13" s="59" t="s">
        <v>149</v>
      </c>
      <c r="J13" s="59" t="s">
        <v>393</v>
      </c>
      <c r="K13" s="59" t="s">
        <v>165</v>
      </c>
      <c r="L13" s="59" t="s">
        <v>394</v>
      </c>
      <c r="Z13" s="1028" t="s">
        <v>615</v>
      </c>
      <c r="AA13" s="1029"/>
      <c r="AB13" s="358">
        <f>AB15/0.55</f>
        <v>0.50363636363636366</v>
      </c>
    </row>
    <row r="14" spans="1:28" ht="30" customHeight="1" x14ac:dyDescent="0.25">
      <c r="A14" s="169" t="s">
        <v>15</v>
      </c>
      <c r="B14" s="1010"/>
      <c r="C14" s="1010"/>
      <c r="D14" s="1010"/>
      <c r="E14" s="1010"/>
      <c r="G14" s="272">
        <f>SUM(G11:L11)</f>
        <v>50</v>
      </c>
      <c r="H14" s="168">
        <v>600</v>
      </c>
      <c r="I14" s="168">
        <v>0.7</v>
      </c>
      <c r="J14" s="168">
        <v>8000</v>
      </c>
      <c r="K14" s="168">
        <v>4500</v>
      </c>
      <c r="L14" s="168">
        <v>3.8</v>
      </c>
      <c r="Z14" s="1028" t="s">
        <v>616</v>
      </c>
      <c r="AA14" s="1029"/>
      <c r="AB14" s="357">
        <v>0.26819999999999999</v>
      </c>
    </row>
    <row r="15" spans="1:28" ht="30" customHeight="1" x14ac:dyDescent="0.25">
      <c r="A15" s="169" t="s">
        <v>4</v>
      </c>
      <c r="B15" s="1010">
        <v>2015</v>
      </c>
      <c r="C15" s="1010"/>
      <c r="D15" s="1010"/>
      <c r="E15" s="1010"/>
      <c r="Z15" s="1028" t="s">
        <v>578</v>
      </c>
      <c r="AA15" s="1029"/>
      <c r="AB15" s="357">
        <v>0.27700000000000002</v>
      </c>
    </row>
    <row r="16" spans="1:28" ht="30" customHeight="1" x14ac:dyDescent="0.25">
      <c r="A16" s="169" t="s">
        <v>5</v>
      </c>
      <c r="B16" s="1010">
        <v>2030</v>
      </c>
      <c r="C16" s="1010"/>
      <c r="D16" s="1010"/>
      <c r="E16" s="1010"/>
      <c r="Z16" s="1028" t="s">
        <v>579</v>
      </c>
      <c r="AA16" s="1029"/>
      <c r="AB16" s="357">
        <v>0.20269999999999999</v>
      </c>
    </row>
    <row r="17" spans="1:15" ht="30" customHeight="1" x14ac:dyDescent="0.25">
      <c r="A17" s="169" t="s">
        <v>6</v>
      </c>
      <c r="B17" s="1000">
        <f>G14*J14</f>
        <v>400000</v>
      </c>
      <c r="C17" s="1000"/>
      <c r="D17" s="1000"/>
      <c r="E17" s="1000"/>
      <c r="G17" s="60" t="s">
        <v>212</v>
      </c>
      <c r="H17" s="60" t="s">
        <v>150</v>
      </c>
      <c r="I17" s="60" t="s">
        <v>151</v>
      </c>
      <c r="J17" s="60" t="s">
        <v>129</v>
      </c>
      <c r="K17" s="60" t="s">
        <v>395</v>
      </c>
      <c r="L17" s="60" t="s">
        <v>396</v>
      </c>
      <c r="M17" s="60" t="s">
        <v>397</v>
      </c>
      <c r="N17" s="158" t="s">
        <v>398</v>
      </c>
    </row>
    <row r="18" spans="1:15" x14ac:dyDescent="0.25">
      <c r="A18" s="169" t="s">
        <v>7</v>
      </c>
      <c r="B18" s="1000">
        <v>0</v>
      </c>
      <c r="C18" s="1000"/>
      <c r="D18" s="1000"/>
      <c r="E18" s="1000"/>
      <c r="G18" s="73">
        <f>G14*H14*10</f>
        <v>300000</v>
      </c>
      <c r="H18" s="166">
        <f>AB8</f>
        <v>0.26819999999999999</v>
      </c>
      <c r="I18" s="166"/>
      <c r="J18" s="166">
        <v>7.0000000000000007E-2</v>
      </c>
      <c r="K18" s="75">
        <f>H14*10/L14</f>
        <v>1578.9473684210527</v>
      </c>
      <c r="L18" s="166">
        <v>8.5999999999999993E-2</v>
      </c>
      <c r="M18" s="166">
        <v>0</v>
      </c>
      <c r="N18" s="159">
        <v>0</v>
      </c>
    </row>
    <row r="19" spans="1:15" ht="23.25" x14ac:dyDescent="0.25">
      <c r="A19" s="106" t="s">
        <v>307</v>
      </c>
      <c r="B19" s="1013"/>
      <c r="C19" s="1014"/>
      <c r="D19" s="1014"/>
      <c r="E19" s="1014"/>
    </row>
    <row r="20" spans="1:15" ht="23.25" x14ac:dyDescent="0.25">
      <c r="A20" s="97" t="s">
        <v>306</v>
      </c>
      <c r="B20" s="1006">
        <f>G14*H14*10/0.92-G14*H14*10/L14</f>
        <v>247139.58810068649</v>
      </c>
      <c r="C20" s="1007"/>
      <c r="D20" s="1007"/>
      <c r="E20" s="1007"/>
      <c r="F20" s="2"/>
      <c r="O20" s="2"/>
    </row>
    <row r="21" spans="1:15" x14ac:dyDescent="0.25">
      <c r="A21" s="169" t="s">
        <v>8</v>
      </c>
      <c r="B21" s="1086">
        <f>B20/10*I14-G14*H14*10/L14*M18</f>
        <v>17299.771167048053</v>
      </c>
      <c r="C21" s="1086"/>
      <c r="D21" s="1086"/>
      <c r="E21" s="1086"/>
      <c r="G21" s="167" t="s">
        <v>398</v>
      </c>
      <c r="H21" s="160"/>
    </row>
    <row r="22" spans="1:15" x14ac:dyDescent="0.25">
      <c r="A22" s="169" t="s">
        <v>9</v>
      </c>
      <c r="B22" s="1000"/>
      <c r="C22" s="1000"/>
      <c r="D22" s="1000"/>
      <c r="E22" s="1000"/>
      <c r="G22" s="2"/>
    </row>
    <row r="23" spans="1:15" x14ac:dyDescent="0.25">
      <c r="A23" s="169" t="s">
        <v>301</v>
      </c>
      <c r="B23" s="1016">
        <f>(B17-K14*G14)/(B21+B22)</f>
        <v>10.115740740740742</v>
      </c>
      <c r="C23" s="1016"/>
      <c r="D23" s="1016"/>
      <c r="E23" s="1016"/>
    </row>
    <row r="24" spans="1:15" x14ac:dyDescent="0.25">
      <c r="A24" s="169" t="s">
        <v>330</v>
      </c>
      <c r="B24" s="1017">
        <f>(B17-B18-K14*G14)/(B21+B22)</f>
        <v>10.115740740740742</v>
      </c>
      <c r="C24" s="1017"/>
      <c r="D24" s="1017"/>
      <c r="E24" s="1017"/>
    </row>
    <row r="25" spans="1:15" ht="23.25" x14ac:dyDescent="0.25">
      <c r="A25" s="100" t="s">
        <v>305</v>
      </c>
      <c r="B25" s="1070">
        <f>B20/1000*H18</f>
        <v>66.282837528604119</v>
      </c>
      <c r="C25" s="1070"/>
      <c r="D25" s="1070"/>
      <c r="E25" s="1070"/>
    </row>
    <row r="26" spans="1:15" x14ac:dyDescent="0.25">
      <c r="A26" s="101" t="s">
        <v>303</v>
      </c>
      <c r="B26" s="1057">
        <f>B25/'[2]Objectifs CO2'!$C$7</f>
        <v>7.4226564456767355E-2</v>
      </c>
      <c r="C26" s="1057"/>
      <c r="D26" s="1057"/>
      <c r="E26" s="1057"/>
    </row>
    <row r="27" spans="1:15" x14ac:dyDescent="0.25">
      <c r="A27" s="101" t="s">
        <v>304</v>
      </c>
      <c r="B27" s="1057">
        <f>B25/'[2]Objectifs CO2'!$C$4</f>
        <v>2.2267969337030204E-2</v>
      </c>
      <c r="C27" s="1057"/>
      <c r="D27" s="1057"/>
      <c r="E27" s="1057"/>
    </row>
    <row r="28" spans="1:15" x14ac:dyDescent="0.25">
      <c r="A28" s="101" t="s">
        <v>22</v>
      </c>
      <c r="B28" s="1085"/>
      <c r="C28" s="1085"/>
      <c r="D28" s="1085"/>
      <c r="E28" s="1085"/>
    </row>
    <row r="29" spans="1:15" x14ac:dyDescent="0.25">
      <c r="A29" s="101" t="s">
        <v>257</v>
      </c>
      <c r="B29" s="999" t="s">
        <v>399</v>
      </c>
      <c r="C29" s="999"/>
      <c r="D29" s="999"/>
      <c r="E29" s="999"/>
    </row>
    <row r="31" spans="1:15" x14ac:dyDescent="0.25">
      <c r="A31" s="603" t="s">
        <v>1065</v>
      </c>
      <c r="B31" s="1003" t="s">
        <v>675</v>
      </c>
      <c r="C31" s="1003"/>
      <c r="D31" s="1003"/>
      <c r="E31" s="56"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8:G10"/>
    <mergeCell ref="B4:E4"/>
    <mergeCell ref="B5:E5"/>
    <mergeCell ref="B6:E6"/>
    <mergeCell ref="B7:E7"/>
    <mergeCell ref="G7:H7"/>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A1:E1"/>
    <mergeCell ref="B2:E2"/>
    <mergeCell ref="B31:D31"/>
    <mergeCell ref="B32:D32"/>
    <mergeCell ref="G32:I32"/>
    <mergeCell ref="B33:D33"/>
    <mergeCell ref="H33:I33"/>
    <mergeCell ref="G40:I40"/>
    <mergeCell ref="B34:D34"/>
    <mergeCell ref="H34:I34"/>
    <mergeCell ref="B35:D35"/>
    <mergeCell ref="H35:I35"/>
    <mergeCell ref="B36:D36"/>
    <mergeCell ref="B20:E20"/>
    <mergeCell ref="B9:E9"/>
    <mergeCell ref="B10:E10"/>
    <mergeCell ref="B11:E11"/>
    <mergeCell ref="B12:E12"/>
    <mergeCell ref="B13:E13"/>
    <mergeCell ref="B14:E14"/>
    <mergeCell ref="B15:E15"/>
    <mergeCell ref="B16:E16"/>
    <mergeCell ref="B17:E17"/>
    <mergeCell ref="B18:E18"/>
    <mergeCell ref="G2:H2"/>
    <mergeCell ref="B3:E3"/>
    <mergeCell ref="G3:H3"/>
    <mergeCell ref="B42:D42"/>
    <mergeCell ref="B44:D44"/>
    <mergeCell ref="B37:D37"/>
    <mergeCell ref="B38:D38"/>
    <mergeCell ref="B39:D39"/>
    <mergeCell ref="B40:D40"/>
    <mergeCell ref="B41:D41"/>
    <mergeCell ref="B19:E19"/>
    <mergeCell ref="B28:E28"/>
    <mergeCell ref="B29:E29"/>
    <mergeCell ref="B21:E21"/>
    <mergeCell ref="B22:E22"/>
    <mergeCell ref="B23:E23"/>
    <mergeCell ref="B24:E24"/>
    <mergeCell ref="B25:E25"/>
    <mergeCell ref="B26:E26"/>
    <mergeCell ref="B27:E27"/>
    <mergeCell ref="B8:E8"/>
    <mergeCell ref="G4:H4"/>
    <mergeCell ref="G5:H5"/>
    <mergeCell ref="G6:H6"/>
  </mergeCells>
  <conditionalFormatting sqref="B5">
    <cfRule type="containsText" dxfId="230" priority="1" operator="containsText" text="Terminé">
      <formula>NOT(ISERROR(SEARCH("Terminé",B5)))</formula>
    </cfRule>
    <cfRule type="containsText" dxfId="229" priority="2" operator="containsText" text="En cours">
      <formula>NOT(ISERROR(SEARCH("En cours",B5)))</formula>
    </cfRule>
    <cfRule type="containsText" dxfId="22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D10" workbookViewId="0">
      <selection activeCell="B8" sqref="B8:E8"/>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93</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424</v>
      </c>
      <c r="C6" s="993"/>
      <c r="D6" s="993"/>
      <c r="E6" s="993"/>
      <c r="F6" s="7"/>
      <c r="G6" s="986" t="s">
        <v>755</v>
      </c>
      <c r="H6" s="986"/>
      <c r="Z6" s="1026"/>
      <c r="AA6" s="1027"/>
      <c r="AB6" s="357" t="s">
        <v>610</v>
      </c>
    </row>
    <row r="7" spans="1:28" ht="19.5" customHeight="1" x14ac:dyDescent="0.25">
      <c r="A7" s="253" t="s">
        <v>475</v>
      </c>
      <c r="B7" s="994" t="s">
        <v>426</v>
      </c>
      <c r="C7" s="994"/>
      <c r="D7" s="994"/>
      <c r="E7" s="994"/>
      <c r="F7" s="7"/>
      <c r="G7" s="995" t="s">
        <v>756</v>
      </c>
      <c r="H7" s="995"/>
      <c r="I7" s="400"/>
      <c r="J7" s="400"/>
      <c r="Z7" s="401"/>
      <c r="AA7" s="402"/>
      <c r="AB7" s="357"/>
    </row>
    <row r="8" spans="1:28" ht="15" customHeight="1" x14ac:dyDescent="0.25">
      <c r="A8" s="173" t="s">
        <v>1</v>
      </c>
      <c r="B8" s="967" t="s">
        <v>31</v>
      </c>
      <c r="C8" s="967"/>
      <c r="D8" s="967"/>
      <c r="E8" s="967"/>
      <c r="G8" s="997" t="s">
        <v>936</v>
      </c>
      <c r="Z8" s="1028" t="s">
        <v>611</v>
      </c>
      <c r="AA8" s="1029"/>
      <c r="AB8" s="357">
        <v>0.26819999999999999</v>
      </c>
    </row>
    <row r="9" spans="1:28" x14ac:dyDescent="0.25">
      <c r="A9" s="173" t="s">
        <v>0</v>
      </c>
      <c r="B9" s="967" t="s">
        <v>422</v>
      </c>
      <c r="C9" s="967"/>
      <c r="D9" s="967"/>
      <c r="E9" s="967"/>
      <c r="G9" s="997"/>
      <c r="Z9" s="1028" t="s">
        <v>612</v>
      </c>
      <c r="AA9" s="1029"/>
      <c r="AB9" s="357">
        <v>3.1300000000000001E-2</v>
      </c>
    </row>
    <row r="10" spans="1:28" ht="30" customHeight="1" x14ac:dyDescent="0.25">
      <c r="A10" s="173" t="s">
        <v>2</v>
      </c>
      <c r="B10" s="1034" t="s">
        <v>1010</v>
      </c>
      <c r="C10" s="1035"/>
      <c r="D10" s="1035"/>
      <c r="E10" s="1035"/>
      <c r="G10" s="997"/>
      <c r="M10" s="7"/>
      <c r="Z10" s="1028"/>
      <c r="AA10" s="1029"/>
      <c r="AB10" s="357"/>
    </row>
    <row r="11" spans="1:28" ht="32.25" customHeight="1" x14ac:dyDescent="0.25">
      <c r="A11" s="173" t="s">
        <v>29</v>
      </c>
      <c r="B11" s="1035" t="s">
        <v>423</v>
      </c>
      <c r="C11" s="1035"/>
      <c r="D11" s="1035"/>
      <c r="E11" s="1035"/>
      <c r="G11" s="254">
        <v>100</v>
      </c>
      <c r="H11" s="131" t="s">
        <v>575</v>
      </c>
      <c r="Z11" s="1028" t="s">
        <v>613</v>
      </c>
      <c r="AA11" s="1029"/>
      <c r="AB11" s="357">
        <v>0.26819999999999999</v>
      </c>
    </row>
    <row r="12" spans="1:28" ht="30" customHeight="1" x14ac:dyDescent="0.25">
      <c r="A12" s="173" t="s">
        <v>14</v>
      </c>
      <c r="B12" s="1010" t="s">
        <v>607</v>
      </c>
      <c r="C12" s="1010"/>
      <c r="D12" s="1010"/>
      <c r="E12" s="1010"/>
      <c r="Z12" s="1028" t="s">
        <v>614</v>
      </c>
      <c r="AA12" s="1029"/>
      <c r="AB12" s="357">
        <v>1.18E-2</v>
      </c>
    </row>
    <row r="13" spans="1:28" ht="30" customHeight="1" x14ac:dyDescent="0.25">
      <c r="A13" s="173" t="s">
        <v>3</v>
      </c>
      <c r="B13" s="1010"/>
      <c r="C13" s="1010"/>
      <c r="D13" s="1010"/>
      <c r="E13" s="1010"/>
      <c r="G13" s="59" t="s">
        <v>392</v>
      </c>
      <c r="H13" s="59" t="s">
        <v>210</v>
      </c>
      <c r="I13" s="59" t="s">
        <v>149</v>
      </c>
      <c r="J13" s="59" t="s">
        <v>393</v>
      </c>
      <c r="K13" s="59" t="s">
        <v>165</v>
      </c>
      <c r="L13" s="59" t="s">
        <v>394</v>
      </c>
      <c r="Z13" s="1028" t="s">
        <v>615</v>
      </c>
      <c r="AA13" s="1029"/>
      <c r="AB13" s="358">
        <f>AB15/0.55</f>
        <v>0.50363636363636366</v>
      </c>
    </row>
    <row r="14" spans="1:28" ht="30" customHeight="1" x14ac:dyDescent="0.25">
      <c r="A14" s="173" t="s">
        <v>15</v>
      </c>
      <c r="B14" s="1010"/>
      <c r="C14" s="1010"/>
      <c r="D14" s="1010"/>
      <c r="E14" s="1010"/>
      <c r="G14" s="172">
        <f>SUM(G11:L11)</f>
        <v>100</v>
      </c>
      <c r="H14" s="172">
        <v>350</v>
      </c>
      <c r="I14" s="172">
        <v>0.86</v>
      </c>
      <c r="J14" s="172">
        <v>7000</v>
      </c>
      <c r="K14" s="172">
        <v>4500</v>
      </c>
      <c r="L14" s="172">
        <v>3.8</v>
      </c>
      <c r="Z14" s="1028" t="s">
        <v>616</v>
      </c>
      <c r="AA14" s="1029"/>
      <c r="AB14" s="357">
        <v>0.26819999999999999</v>
      </c>
    </row>
    <row r="15" spans="1:28" ht="30" customHeight="1" x14ac:dyDescent="0.25">
      <c r="A15" s="173" t="s">
        <v>4</v>
      </c>
      <c r="B15" s="1010">
        <v>2015</v>
      </c>
      <c r="C15" s="1010"/>
      <c r="D15" s="1010"/>
      <c r="E15" s="1010"/>
      <c r="Z15" s="1028" t="s">
        <v>578</v>
      </c>
      <c r="AA15" s="1029"/>
      <c r="AB15" s="357">
        <v>0.27700000000000002</v>
      </c>
    </row>
    <row r="16" spans="1:28" ht="30" customHeight="1" x14ac:dyDescent="0.25">
      <c r="A16" s="173" t="s">
        <v>5</v>
      </c>
      <c r="B16" s="1010">
        <v>2030</v>
      </c>
      <c r="C16" s="1010"/>
      <c r="D16" s="1010"/>
      <c r="E16" s="1010"/>
      <c r="Z16" s="1028" t="s">
        <v>579</v>
      </c>
      <c r="AA16" s="1029"/>
      <c r="AB16" s="357">
        <v>0.20269999999999999</v>
      </c>
    </row>
    <row r="17" spans="1:14" ht="30" customHeight="1" x14ac:dyDescent="0.25">
      <c r="A17" s="173" t="s">
        <v>6</v>
      </c>
      <c r="B17" s="1000">
        <f>G14*J14</f>
        <v>700000</v>
      </c>
      <c r="C17" s="1000"/>
      <c r="D17" s="1000"/>
      <c r="E17" s="1000"/>
      <c r="G17" s="60" t="s">
        <v>212</v>
      </c>
      <c r="H17" s="60" t="s">
        <v>150</v>
      </c>
      <c r="I17" s="60" t="s">
        <v>151</v>
      </c>
      <c r="J17" s="60" t="s">
        <v>129</v>
      </c>
      <c r="K17" s="60" t="s">
        <v>395</v>
      </c>
      <c r="L17" s="60" t="s">
        <v>396</v>
      </c>
      <c r="M17" s="60" t="s">
        <v>397</v>
      </c>
      <c r="N17" s="158" t="s">
        <v>398</v>
      </c>
    </row>
    <row r="18" spans="1:14" x14ac:dyDescent="0.25">
      <c r="A18" s="173" t="s">
        <v>7</v>
      </c>
      <c r="B18" s="1000">
        <f>G14*N18</f>
        <v>80000</v>
      </c>
      <c r="C18" s="1000"/>
      <c r="D18" s="1000"/>
      <c r="E18" s="1000"/>
      <c r="G18" s="73">
        <f>G14*H14*10</f>
        <v>350000</v>
      </c>
      <c r="H18" s="170">
        <f>AB8</f>
        <v>0.26819999999999999</v>
      </c>
      <c r="I18" s="170">
        <v>1128</v>
      </c>
      <c r="J18" s="170">
        <v>7.0000000000000007E-2</v>
      </c>
      <c r="K18" s="75">
        <f>H14*10/L14</f>
        <v>921.0526315789474</v>
      </c>
      <c r="L18" s="170">
        <v>8.5999999999999993E-2</v>
      </c>
      <c r="M18" s="170">
        <v>0</v>
      </c>
      <c r="N18" s="159">
        <v>800</v>
      </c>
    </row>
    <row r="19" spans="1:14" ht="23.25" x14ac:dyDescent="0.25">
      <c r="A19" s="106" t="s">
        <v>307</v>
      </c>
      <c r="B19" s="1013"/>
      <c r="C19" s="1014"/>
      <c r="D19" s="1014"/>
      <c r="E19" s="1014"/>
    </row>
    <row r="20" spans="1:14" ht="23.25" x14ac:dyDescent="0.25">
      <c r="A20" s="97" t="s">
        <v>306</v>
      </c>
      <c r="B20" s="1006">
        <f>G14*H14*10/0.92-G14*H14*10/L14</f>
        <v>288329.51945080084</v>
      </c>
      <c r="C20" s="1007"/>
      <c r="D20" s="1007"/>
      <c r="E20" s="1007"/>
      <c r="F20" s="2"/>
    </row>
    <row r="21" spans="1:14" x14ac:dyDescent="0.25">
      <c r="A21" s="173" t="s">
        <v>8</v>
      </c>
      <c r="B21" s="1086">
        <f>B20/10*I14-G14*H14*10/L14*M18</f>
        <v>24796.33867276887</v>
      </c>
      <c r="C21" s="1086"/>
      <c r="D21" s="1086"/>
      <c r="E21" s="1086"/>
      <c r="G21" s="171" t="s">
        <v>398</v>
      </c>
      <c r="H21" s="160">
        <v>800</v>
      </c>
    </row>
    <row r="22" spans="1:14" x14ac:dyDescent="0.25">
      <c r="A22" s="173" t="s">
        <v>9</v>
      </c>
      <c r="B22" s="1000"/>
      <c r="C22" s="1000"/>
      <c r="D22" s="1000"/>
      <c r="E22" s="1000"/>
      <c r="G22" s="2"/>
    </row>
    <row r="23" spans="1:14" x14ac:dyDescent="0.25">
      <c r="A23" s="173" t="s">
        <v>301</v>
      </c>
      <c r="B23" s="1016">
        <f>(B17-K14*G14)/(B21+B22)</f>
        <v>10.082133628645259</v>
      </c>
      <c r="C23" s="1016"/>
      <c r="D23" s="1016"/>
      <c r="E23" s="1016"/>
      <c r="G23" s="2"/>
    </row>
    <row r="24" spans="1:14" x14ac:dyDescent="0.25">
      <c r="A24" s="173" t="s">
        <v>330</v>
      </c>
      <c r="B24" s="1017">
        <f>(B17-B18-K14*G14)/(B21+B22)</f>
        <v>6.855850867478777</v>
      </c>
      <c r="C24" s="1017"/>
      <c r="D24" s="1017"/>
      <c r="E24" s="1017"/>
    </row>
    <row r="25" spans="1:14" ht="23.25" x14ac:dyDescent="0.25">
      <c r="A25" s="100" t="s">
        <v>305</v>
      </c>
      <c r="B25" s="1070">
        <f>B20/1000*H18</f>
        <v>77.329977116704782</v>
      </c>
      <c r="C25" s="1070"/>
      <c r="D25" s="1070"/>
      <c r="E25" s="1070"/>
    </row>
    <row r="26" spans="1:14" x14ac:dyDescent="0.25">
      <c r="A26" s="101" t="s">
        <v>303</v>
      </c>
      <c r="B26" s="1057">
        <f>B25/'[2]Objectifs CO2'!$C$7</f>
        <v>8.6597658532895222E-2</v>
      </c>
      <c r="C26" s="1057"/>
      <c r="D26" s="1057"/>
      <c r="E26" s="1057"/>
    </row>
    <row r="27" spans="1:14" x14ac:dyDescent="0.25">
      <c r="A27" s="101" t="s">
        <v>304</v>
      </c>
      <c r="B27" s="1057">
        <f>B25/'[2]Objectifs CO2'!$C$4</f>
        <v>2.5979297559868567E-2</v>
      </c>
      <c r="C27" s="1057"/>
      <c r="D27" s="1057"/>
      <c r="E27" s="1057"/>
    </row>
    <row r="28" spans="1:14" x14ac:dyDescent="0.25">
      <c r="A28" s="101" t="s">
        <v>22</v>
      </c>
      <c r="B28" s="1085"/>
      <c r="C28" s="1085"/>
      <c r="D28" s="1085"/>
      <c r="E28" s="1085"/>
    </row>
    <row r="29" spans="1:14" x14ac:dyDescent="0.25">
      <c r="A29" s="101" t="s">
        <v>257</v>
      </c>
      <c r="B29" s="999" t="s">
        <v>399</v>
      </c>
      <c r="C29" s="999"/>
      <c r="D29" s="999"/>
      <c r="E29" s="999"/>
    </row>
    <row r="31" spans="1:14" x14ac:dyDescent="0.25">
      <c r="A31" s="603" t="s">
        <v>1065</v>
      </c>
      <c r="B31" s="1003" t="s">
        <v>675</v>
      </c>
      <c r="C31" s="1003"/>
      <c r="D31" s="1003"/>
      <c r="E31" s="56" t="s">
        <v>676</v>
      </c>
    </row>
    <row r="32" spans="1:14"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8:G10"/>
    <mergeCell ref="B4:E4"/>
    <mergeCell ref="B5:E5"/>
    <mergeCell ref="B6:E6"/>
    <mergeCell ref="B7:E7"/>
    <mergeCell ref="G7:H7"/>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A1:E1"/>
    <mergeCell ref="B2:E2"/>
    <mergeCell ref="B31:D31"/>
    <mergeCell ref="B32:D32"/>
    <mergeCell ref="G32:I32"/>
    <mergeCell ref="B33:D33"/>
    <mergeCell ref="H33:I33"/>
    <mergeCell ref="G40:I40"/>
    <mergeCell ref="B34:D34"/>
    <mergeCell ref="H34:I34"/>
    <mergeCell ref="B35:D35"/>
    <mergeCell ref="H35:I35"/>
    <mergeCell ref="B36:D36"/>
    <mergeCell ref="B20:E20"/>
    <mergeCell ref="B9:E9"/>
    <mergeCell ref="B10:E10"/>
    <mergeCell ref="B11:E11"/>
    <mergeCell ref="B12:E12"/>
    <mergeCell ref="B13:E13"/>
    <mergeCell ref="B14:E14"/>
    <mergeCell ref="B15:E15"/>
    <mergeCell ref="B16:E16"/>
    <mergeCell ref="B17:E17"/>
    <mergeCell ref="B18:E18"/>
    <mergeCell ref="G2:H2"/>
    <mergeCell ref="B3:E3"/>
    <mergeCell ref="G3:H3"/>
    <mergeCell ref="B42:D42"/>
    <mergeCell ref="B44:D44"/>
    <mergeCell ref="B37:D37"/>
    <mergeCell ref="B38:D38"/>
    <mergeCell ref="B39:D39"/>
    <mergeCell ref="B40:D40"/>
    <mergeCell ref="B41:D41"/>
    <mergeCell ref="B19:E19"/>
    <mergeCell ref="B28:E28"/>
    <mergeCell ref="B29:E29"/>
    <mergeCell ref="B21:E21"/>
    <mergeCell ref="B22:E22"/>
    <mergeCell ref="B23:E23"/>
    <mergeCell ref="B24:E24"/>
    <mergeCell ref="B25:E25"/>
    <mergeCell ref="B26:E26"/>
    <mergeCell ref="B27:E27"/>
    <mergeCell ref="B8:E8"/>
    <mergeCell ref="G4:H4"/>
    <mergeCell ref="G5:H5"/>
    <mergeCell ref="G6:H6"/>
  </mergeCells>
  <conditionalFormatting sqref="B5">
    <cfRule type="containsText" dxfId="227" priority="1" operator="containsText" text="Terminé">
      <formula>NOT(ISERROR(SEARCH("Terminé",B5)))</formula>
    </cfRule>
    <cfRule type="containsText" dxfId="226" priority="2" operator="containsText" text="En cours">
      <formula>NOT(ISERROR(SEARCH("En cours",B5)))</formula>
    </cfRule>
    <cfRule type="containsText" dxfId="22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A15" zoomScaleNormal="100" workbookViewId="0">
      <selection activeCell="B8" sqref="B8:E8"/>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1" width="11.42578125" style="1"/>
    <col min="12" max="13" width="11.42578125" style="6"/>
    <col min="14" max="16384" width="11.42578125" style="1"/>
  </cols>
  <sheetData>
    <row r="1" spans="1:28" ht="26.25" x14ac:dyDescent="0.4">
      <c r="A1" s="1001" t="s">
        <v>937</v>
      </c>
      <c r="B1" s="1001"/>
      <c r="C1" s="1001"/>
      <c r="D1" s="1001"/>
      <c r="E1" s="1001"/>
      <c r="F1" s="276"/>
      <c r="G1" s="7"/>
      <c r="H1" s="7"/>
    </row>
    <row r="2" spans="1:28" ht="19.5" customHeight="1" x14ac:dyDescent="0.25">
      <c r="A2" s="415" t="s">
        <v>750</v>
      </c>
      <c r="B2" s="1068" t="s">
        <v>94</v>
      </c>
      <c r="C2" s="1068"/>
      <c r="D2" s="1068"/>
      <c r="E2" s="1068"/>
      <c r="F2" s="7"/>
      <c r="G2" s="986" t="s">
        <v>751</v>
      </c>
      <c r="H2" s="986"/>
    </row>
    <row r="3" spans="1:28" ht="19.5" customHeight="1" x14ac:dyDescent="0.25">
      <c r="A3" s="409" t="s">
        <v>743</v>
      </c>
      <c r="B3" s="987" t="s">
        <v>457</v>
      </c>
      <c r="C3" s="987"/>
      <c r="D3" s="987"/>
      <c r="E3" s="987"/>
      <c r="F3" s="7"/>
      <c r="G3" s="986" t="s">
        <v>752</v>
      </c>
      <c r="H3" s="986"/>
      <c r="I3" s="6"/>
      <c r="J3" s="6"/>
    </row>
    <row r="4" spans="1:28" ht="19.5" customHeight="1" x14ac:dyDescent="0.25">
      <c r="A4" s="403" t="s">
        <v>292</v>
      </c>
      <c r="B4" s="996" t="s">
        <v>37</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412</v>
      </c>
      <c r="C6" s="993"/>
      <c r="D6" s="993"/>
      <c r="E6" s="993"/>
      <c r="F6" s="7"/>
      <c r="G6" s="986" t="s">
        <v>755</v>
      </c>
      <c r="H6" s="986"/>
      <c r="I6" s="6"/>
      <c r="J6" s="6"/>
      <c r="Z6" s="1026"/>
      <c r="AA6" s="1027"/>
      <c r="AB6" s="357" t="s">
        <v>610</v>
      </c>
    </row>
    <row r="7" spans="1:28" s="6" customFormat="1" ht="19.5" customHeight="1" x14ac:dyDescent="0.25">
      <c r="A7" s="253" t="s">
        <v>475</v>
      </c>
      <c r="B7" s="994" t="s">
        <v>248</v>
      </c>
      <c r="C7" s="994"/>
      <c r="D7" s="994"/>
      <c r="E7" s="994"/>
      <c r="F7" s="7"/>
      <c r="G7" s="995" t="s">
        <v>756</v>
      </c>
      <c r="H7" s="995"/>
      <c r="I7" s="395"/>
      <c r="J7" s="395"/>
      <c r="Z7" s="401"/>
      <c r="AA7" s="402"/>
      <c r="AB7" s="357"/>
    </row>
    <row r="8" spans="1:28" ht="24" customHeight="1" x14ac:dyDescent="0.25">
      <c r="A8" s="98" t="s">
        <v>1</v>
      </c>
      <c r="B8" s="967" t="s">
        <v>83</v>
      </c>
      <c r="C8" s="967"/>
      <c r="D8" s="967"/>
      <c r="E8" s="967"/>
      <c r="H8" s="754"/>
      <c r="I8" s="755"/>
      <c r="J8" s="432"/>
      <c r="K8" s="6"/>
      <c r="N8" s="6"/>
      <c r="O8" s="6"/>
      <c r="P8" s="6"/>
      <c r="Q8" s="6"/>
      <c r="R8" s="6"/>
      <c r="S8" s="6"/>
      <c r="T8" s="6"/>
      <c r="U8" s="6"/>
      <c r="V8" s="6"/>
      <c r="W8" s="6"/>
      <c r="X8" s="6"/>
      <c r="Z8" s="1028" t="s">
        <v>611</v>
      </c>
      <c r="AA8" s="1029"/>
      <c r="AB8" s="357">
        <v>0.26819999999999999</v>
      </c>
    </row>
    <row r="9" spans="1:28" ht="24" customHeight="1" x14ac:dyDescent="0.25">
      <c r="A9" s="98" t="s">
        <v>0</v>
      </c>
      <c r="B9" s="967" t="s">
        <v>1276</v>
      </c>
      <c r="C9" s="967"/>
      <c r="D9" s="967"/>
      <c r="E9" s="967"/>
      <c r="G9" s="1088" t="s">
        <v>936</v>
      </c>
      <c r="H9" s="1089"/>
      <c r="I9" s="1090"/>
      <c r="J9" s="432"/>
      <c r="K9" s="6"/>
      <c r="N9" s="6"/>
      <c r="O9" s="6"/>
      <c r="P9" s="6"/>
      <c r="Q9" s="6"/>
      <c r="R9" s="6"/>
      <c r="S9" s="6"/>
      <c r="T9" s="6"/>
      <c r="U9" s="6"/>
      <c r="V9" s="6"/>
      <c r="W9" s="6"/>
      <c r="X9" s="6"/>
      <c r="Z9" s="1028" t="s">
        <v>612</v>
      </c>
      <c r="AA9" s="1029"/>
      <c r="AB9" s="357">
        <v>3.1300000000000001E-2</v>
      </c>
    </row>
    <row r="10" spans="1:28" ht="48" customHeight="1" x14ac:dyDescent="0.25">
      <c r="A10" s="98" t="s">
        <v>2</v>
      </c>
      <c r="B10" s="1034" t="s">
        <v>1052</v>
      </c>
      <c r="C10" s="1034"/>
      <c r="D10" s="1034"/>
      <c r="E10" s="1034"/>
      <c r="G10" s="756"/>
      <c r="H10" s="757"/>
      <c r="I10" s="758"/>
      <c r="J10" s="432"/>
      <c r="K10" s="6"/>
      <c r="N10" s="6"/>
      <c r="O10" s="6"/>
      <c r="P10" s="6"/>
      <c r="Q10" s="6"/>
      <c r="R10" s="6"/>
      <c r="S10" s="6"/>
      <c r="T10" s="6"/>
      <c r="U10" s="6"/>
      <c r="V10" s="6"/>
      <c r="W10" s="6"/>
      <c r="X10" s="6"/>
      <c r="Z10" s="1028"/>
      <c r="AA10" s="1029"/>
      <c r="AB10" s="357"/>
    </row>
    <row r="11" spans="1:28" ht="29.25" customHeight="1" x14ac:dyDescent="0.25">
      <c r="A11" s="98" t="s">
        <v>29</v>
      </c>
      <c r="B11" s="1035" t="s">
        <v>488</v>
      </c>
      <c r="C11" s="1035"/>
      <c r="D11" s="1035"/>
      <c r="E11" s="1035"/>
      <c r="G11" s="56" t="s">
        <v>502</v>
      </c>
      <c r="H11" s="56" t="s">
        <v>540</v>
      </c>
      <c r="I11" s="56" t="s">
        <v>25</v>
      </c>
      <c r="J11" s="630" t="s">
        <v>7</v>
      </c>
      <c r="K11" s="6"/>
      <c r="N11" s="6"/>
      <c r="O11" s="6"/>
      <c r="P11" s="6"/>
      <c r="Q11" s="6"/>
      <c r="R11" s="6"/>
      <c r="S11" s="6"/>
      <c r="T11" s="6"/>
      <c r="U11" s="6"/>
      <c r="V11" s="6"/>
      <c r="W11" s="6"/>
      <c r="X11" s="6"/>
      <c r="Z11" s="1028" t="s">
        <v>613</v>
      </c>
      <c r="AA11" s="1029"/>
      <c r="AB11" s="357">
        <v>0.26819999999999999</v>
      </c>
    </row>
    <row r="12" spans="1:28" ht="30" customHeight="1" x14ac:dyDescent="0.25">
      <c r="A12" s="98" t="s">
        <v>14</v>
      </c>
      <c r="B12" s="1010" t="s">
        <v>939</v>
      </c>
      <c r="C12" s="1010"/>
      <c r="D12" s="1010"/>
      <c r="E12" s="1010"/>
      <c r="G12" s="185" t="s">
        <v>1053</v>
      </c>
      <c r="H12" s="254">
        <v>8000</v>
      </c>
      <c r="I12" s="56">
        <v>80000</v>
      </c>
      <c r="J12" s="630">
        <f>I12*0.3</f>
        <v>24000</v>
      </c>
      <c r="K12" s="6"/>
      <c r="N12" s="6"/>
      <c r="O12" s="6"/>
      <c r="P12" s="6"/>
      <c r="Q12" s="6"/>
      <c r="R12" s="6"/>
      <c r="S12" s="6"/>
      <c r="T12" s="6"/>
      <c r="U12" s="6"/>
      <c r="V12" s="6"/>
      <c r="W12" s="6"/>
      <c r="X12" s="6"/>
      <c r="Z12" s="1028" t="s">
        <v>614</v>
      </c>
      <c r="AA12" s="1029"/>
      <c r="AB12" s="357">
        <v>1.18E-2</v>
      </c>
    </row>
    <row r="13" spans="1:28" ht="30" customHeight="1" x14ac:dyDescent="0.25">
      <c r="A13" s="98" t="s">
        <v>3</v>
      </c>
      <c r="B13" s="1011" t="s">
        <v>943</v>
      </c>
      <c r="C13" s="1011"/>
      <c r="D13" s="1011"/>
      <c r="E13" s="1011"/>
      <c r="G13" s="185" t="s">
        <v>1054</v>
      </c>
      <c r="H13" s="252">
        <v>8047</v>
      </c>
      <c r="I13" s="56">
        <v>300000</v>
      </c>
      <c r="J13" s="630">
        <f>I13*0.3</f>
        <v>90000</v>
      </c>
      <c r="K13" s="6"/>
      <c r="N13" s="6"/>
      <c r="O13" s="6"/>
      <c r="P13" s="6"/>
      <c r="Q13" s="6"/>
      <c r="R13" s="6"/>
      <c r="S13" s="6"/>
      <c r="T13" s="6"/>
      <c r="U13" s="6"/>
      <c r="V13" s="6"/>
      <c r="W13" s="6"/>
      <c r="X13" s="6"/>
      <c r="Z13" s="1028" t="s">
        <v>615</v>
      </c>
      <c r="AA13" s="1029"/>
      <c r="AB13" s="358">
        <f>AB15/0.55</f>
        <v>0.50363636363636366</v>
      </c>
    </row>
    <row r="14" spans="1:28" ht="30" customHeight="1" x14ac:dyDescent="0.25">
      <c r="A14" s="98" t="s">
        <v>15</v>
      </c>
      <c r="B14" s="1010"/>
      <c r="C14" s="1010"/>
      <c r="D14" s="1010"/>
      <c r="E14" s="1010"/>
      <c r="G14" s="185" t="s">
        <v>1055</v>
      </c>
      <c r="H14" s="252">
        <v>9346</v>
      </c>
      <c r="I14" s="56">
        <v>20000</v>
      </c>
      <c r="J14" s="630">
        <v>7000</v>
      </c>
      <c r="K14" s="6"/>
      <c r="N14" s="6"/>
      <c r="O14" s="6"/>
      <c r="P14" s="6"/>
      <c r="Q14" s="6"/>
      <c r="R14" s="6"/>
      <c r="S14" s="6"/>
      <c r="T14" s="6"/>
      <c r="U14" s="6"/>
      <c r="V14" s="6"/>
      <c r="W14" s="6"/>
      <c r="X14" s="6"/>
      <c r="Z14" s="1028" t="s">
        <v>616</v>
      </c>
      <c r="AA14" s="1029"/>
      <c r="AB14" s="357">
        <v>0.26819999999999999</v>
      </c>
    </row>
    <row r="15" spans="1:28" ht="30" customHeight="1" x14ac:dyDescent="0.25">
      <c r="A15" s="98" t="s">
        <v>4</v>
      </c>
      <c r="B15" s="1010">
        <v>2019</v>
      </c>
      <c r="C15" s="1010"/>
      <c r="D15" s="1010"/>
      <c r="E15" s="1010"/>
      <c r="F15" s="6"/>
      <c r="G15" s="185"/>
      <c r="H15" s="480"/>
      <c r="I15" s="479"/>
      <c r="J15" s="630">
        <v>7000</v>
      </c>
      <c r="Z15" s="1028" t="s">
        <v>578</v>
      </c>
      <c r="AA15" s="1029"/>
      <c r="AB15" s="357">
        <v>0.27700000000000002</v>
      </c>
    </row>
    <row r="16" spans="1:28" ht="30" customHeight="1" x14ac:dyDescent="0.25">
      <c r="A16" s="98" t="s">
        <v>5</v>
      </c>
      <c r="B16" s="1010">
        <v>2030</v>
      </c>
      <c r="C16" s="1010"/>
      <c r="D16" s="1010"/>
      <c r="E16" s="1010"/>
      <c r="F16" s="6"/>
      <c r="G16" s="185"/>
      <c r="H16" s="480"/>
      <c r="I16" s="479"/>
      <c r="J16" s="630">
        <v>7000</v>
      </c>
      <c r="Z16" s="1028" t="s">
        <v>579</v>
      </c>
      <c r="AA16" s="1029"/>
      <c r="AB16" s="357">
        <v>0.20269999999999999</v>
      </c>
    </row>
    <row r="17" spans="1:22" ht="30" customHeight="1" x14ac:dyDescent="0.25">
      <c r="A17" s="98" t="s">
        <v>6</v>
      </c>
      <c r="B17" s="1087">
        <f>SUM(I12:I18)</f>
        <v>400000</v>
      </c>
      <c r="C17" s="1087"/>
      <c r="D17" s="1087"/>
      <c r="E17" s="1087"/>
      <c r="F17" s="6"/>
      <c r="G17" s="185"/>
      <c r="H17" s="480"/>
      <c r="I17" s="479"/>
      <c r="J17" s="267"/>
    </row>
    <row r="18" spans="1:22" ht="30" customHeight="1" x14ac:dyDescent="0.25">
      <c r="A18" s="98" t="s">
        <v>7</v>
      </c>
      <c r="B18" s="1087">
        <f>B17*0.6</f>
        <v>240000</v>
      </c>
      <c r="C18" s="1087"/>
      <c r="D18" s="1087"/>
      <c r="E18" s="1087"/>
      <c r="F18" s="6"/>
      <c r="G18" s="185"/>
      <c r="H18" s="480"/>
      <c r="I18" s="479"/>
      <c r="J18" s="267"/>
    </row>
    <row r="19" spans="1:22" ht="30" customHeight="1" x14ac:dyDescent="0.25">
      <c r="A19" s="99" t="s">
        <v>307</v>
      </c>
      <c r="B19" s="1039">
        <f>(SUM(H12:H18))*10*G21</f>
        <v>126965</v>
      </c>
      <c r="C19" s="1040"/>
      <c r="D19" s="1040"/>
      <c r="E19" s="1040"/>
      <c r="F19" s="6"/>
      <c r="G19" s="2"/>
      <c r="H19" s="2"/>
    </row>
    <row r="20" spans="1:22" s="6" customFormat="1" ht="30" customHeight="1" x14ac:dyDescent="0.25">
      <c r="A20" s="96" t="s">
        <v>306</v>
      </c>
      <c r="B20" s="1041"/>
      <c r="C20" s="1042"/>
      <c r="D20" s="1042"/>
      <c r="E20" s="1042"/>
      <c r="G20" s="59" t="s">
        <v>156</v>
      </c>
      <c r="H20" s="59" t="s">
        <v>149</v>
      </c>
      <c r="I20" s="60" t="s">
        <v>157</v>
      </c>
      <c r="T20" s="1"/>
      <c r="U20" s="1"/>
      <c r="V20" s="1"/>
    </row>
    <row r="21" spans="1:22" ht="30" customHeight="1" x14ac:dyDescent="0.25">
      <c r="A21" s="98" t="s">
        <v>8</v>
      </c>
      <c r="B21" s="1000">
        <f>B19*H21/10</f>
        <v>8887.5499999999993</v>
      </c>
      <c r="C21" s="1000"/>
      <c r="D21" s="1000"/>
      <c r="E21" s="1000"/>
      <c r="F21" s="6"/>
      <c r="G21" s="189">
        <v>0.5</v>
      </c>
      <c r="H21" s="189">
        <v>0.7</v>
      </c>
      <c r="I21" s="192">
        <f>AB8</f>
        <v>0.26819999999999999</v>
      </c>
    </row>
    <row r="22" spans="1:22" ht="30" customHeight="1" x14ac:dyDescent="0.25">
      <c r="A22" s="98" t="s">
        <v>9</v>
      </c>
      <c r="B22" s="1000"/>
      <c r="C22" s="1000"/>
      <c r="D22" s="1000"/>
      <c r="E22" s="1000"/>
      <c r="F22" s="6"/>
      <c r="G22" s="6"/>
    </row>
    <row r="23" spans="1:22" ht="30" customHeight="1" x14ac:dyDescent="0.25">
      <c r="A23" s="98" t="s">
        <v>301</v>
      </c>
      <c r="B23" s="1016">
        <f>B17/(B21+B22)</f>
        <v>45.006779146108883</v>
      </c>
      <c r="C23" s="1016"/>
      <c r="D23" s="1016"/>
      <c r="E23" s="1016"/>
      <c r="F23" s="6"/>
      <c r="G23" s="6"/>
    </row>
    <row r="24" spans="1:22" ht="30" customHeight="1" x14ac:dyDescent="0.25">
      <c r="A24" s="98" t="s">
        <v>302</v>
      </c>
      <c r="B24" s="1017">
        <f>(B17-B18)/(B21+B22)</f>
        <v>18.002711658443555</v>
      </c>
      <c r="C24" s="1017"/>
      <c r="D24" s="1017"/>
      <c r="E24" s="1017"/>
      <c r="F24" s="6"/>
      <c r="G24" s="6"/>
    </row>
    <row r="25" spans="1:22" ht="30" customHeight="1" x14ac:dyDescent="0.25">
      <c r="A25" s="100" t="s">
        <v>305</v>
      </c>
      <c r="B25" s="1036">
        <f>B19*I21/1000</f>
        <v>34.052013000000002</v>
      </c>
      <c r="C25" s="1036"/>
      <c r="D25" s="1036"/>
      <c r="E25" s="1036"/>
      <c r="F25" s="6"/>
      <c r="G25" s="6"/>
    </row>
    <row r="26" spans="1:22" ht="30" customHeight="1" x14ac:dyDescent="0.25">
      <c r="A26" s="101" t="s">
        <v>303</v>
      </c>
      <c r="B26" s="1058">
        <f>B25/'Objectifs CO2'!C11</f>
        <v>1.570540315749824E-2</v>
      </c>
      <c r="C26" s="1058"/>
      <c r="D26" s="1058"/>
      <c r="E26" s="1058"/>
      <c r="F26" s="6"/>
      <c r="G26" s="6"/>
    </row>
    <row r="27" spans="1:22" ht="30" customHeight="1" x14ac:dyDescent="0.25">
      <c r="A27" s="101" t="s">
        <v>304</v>
      </c>
      <c r="B27" s="1056">
        <f>B25/'Objectifs CO2'!C4</f>
        <v>1.5705403157498241E-3</v>
      </c>
      <c r="C27" s="1057"/>
      <c r="D27" s="1057"/>
      <c r="E27" s="1057"/>
      <c r="F27" s="6"/>
      <c r="G27" s="6"/>
    </row>
    <row r="28" spans="1:22" ht="30" customHeight="1" x14ac:dyDescent="0.25">
      <c r="A28" s="101" t="s">
        <v>22</v>
      </c>
      <c r="B28" s="999"/>
      <c r="C28" s="999"/>
      <c r="D28" s="999"/>
      <c r="E28" s="999"/>
      <c r="F28" s="6"/>
      <c r="G28" s="6"/>
    </row>
    <row r="29" spans="1:22" ht="30" customHeight="1" x14ac:dyDescent="0.25">
      <c r="A29" s="101" t="s">
        <v>257</v>
      </c>
      <c r="B29" s="999"/>
      <c r="C29" s="999"/>
      <c r="D29" s="999"/>
      <c r="E29" s="999"/>
    </row>
    <row r="31" spans="1:22" x14ac:dyDescent="0.25">
      <c r="A31" s="603" t="s">
        <v>1065</v>
      </c>
      <c r="B31" s="1003" t="s">
        <v>675</v>
      </c>
      <c r="C31" s="1003"/>
      <c r="D31" s="1003"/>
      <c r="E31" s="56" t="s">
        <v>676</v>
      </c>
      <c r="F31" s="6"/>
      <c r="G31" s="6"/>
      <c r="H31" s="6"/>
      <c r="I31" s="6"/>
    </row>
    <row r="32" spans="1:22" x14ac:dyDescent="0.25">
      <c r="A32" s="377"/>
      <c r="B32" s="992" t="s">
        <v>677</v>
      </c>
      <c r="C32" s="992"/>
      <c r="D32" s="992"/>
      <c r="E32" s="374"/>
      <c r="F32" s="6"/>
      <c r="G32" s="1004" t="s">
        <v>676</v>
      </c>
      <c r="H32" s="1004"/>
      <c r="I32" s="1004"/>
    </row>
    <row r="33" spans="1:12" s="1" customFormat="1" x14ac:dyDescent="0.25">
      <c r="A33" s="377"/>
      <c r="B33" s="992" t="s">
        <v>678</v>
      </c>
      <c r="C33" s="992"/>
      <c r="D33" s="992"/>
      <c r="E33" s="374"/>
      <c r="F33" s="6"/>
      <c r="G33" s="375">
        <v>3</v>
      </c>
      <c r="H33" s="1004" t="s">
        <v>679</v>
      </c>
      <c r="I33" s="1004"/>
    </row>
    <row r="34" spans="1:12" s="1" customFormat="1" x14ac:dyDescent="0.25">
      <c r="A34" s="377"/>
      <c r="B34" s="992" t="s">
        <v>680</v>
      </c>
      <c r="C34" s="992"/>
      <c r="D34" s="992"/>
      <c r="E34" s="374"/>
      <c r="F34" s="6"/>
      <c r="G34" s="375">
        <v>2</v>
      </c>
      <c r="H34" s="1004" t="s">
        <v>681</v>
      </c>
      <c r="I34" s="1004"/>
    </row>
    <row r="35" spans="1:12" s="1" customFormat="1" x14ac:dyDescent="0.25">
      <c r="A35" s="377"/>
      <c r="B35" s="992" t="s">
        <v>682</v>
      </c>
      <c r="C35" s="992"/>
      <c r="D35" s="992"/>
      <c r="E35" s="374"/>
      <c r="F35" s="6"/>
      <c r="G35" s="375">
        <v>1</v>
      </c>
      <c r="H35" s="1004" t="s">
        <v>683</v>
      </c>
      <c r="I35" s="1004"/>
    </row>
    <row r="36" spans="1:12" s="1" customFormat="1" x14ac:dyDescent="0.25">
      <c r="A36" s="377"/>
      <c r="B36" s="992" t="s">
        <v>684</v>
      </c>
      <c r="C36" s="992"/>
      <c r="D36" s="992"/>
      <c r="E36" s="374"/>
      <c r="F36" s="6"/>
      <c r="G36" s="6"/>
      <c r="H36" s="6"/>
      <c r="I36" s="6"/>
    </row>
    <row r="37" spans="1:12" s="1" customFormat="1" x14ac:dyDescent="0.25">
      <c r="A37" s="377"/>
      <c r="B37" s="992" t="s">
        <v>685</v>
      </c>
      <c r="C37" s="992"/>
      <c r="D37" s="992"/>
      <c r="E37" s="374"/>
      <c r="F37" s="6"/>
      <c r="G37" s="6"/>
      <c r="H37" s="6"/>
      <c r="I37" s="6"/>
    </row>
    <row r="38" spans="1:12" s="1" customFormat="1" x14ac:dyDescent="0.25">
      <c r="A38" s="377"/>
      <c r="B38" s="992" t="s">
        <v>686</v>
      </c>
      <c r="C38" s="992"/>
      <c r="D38" s="992"/>
      <c r="E38" s="374"/>
      <c r="F38" s="6"/>
      <c r="G38" s="6"/>
      <c r="H38" s="6"/>
      <c r="I38" s="6"/>
    </row>
    <row r="39" spans="1:12" s="1" customFormat="1" x14ac:dyDescent="0.25">
      <c r="A39" s="377"/>
      <c r="B39" s="992" t="s">
        <v>687</v>
      </c>
      <c r="C39" s="992"/>
      <c r="D39" s="992"/>
      <c r="E39" s="374"/>
      <c r="F39" s="6"/>
      <c r="G39" s="6"/>
      <c r="H39" s="6"/>
      <c r="I39" s="6"/>
    </row>
    <row r="40" spans="1:12" s="1" customFormat="1" x14ac:dyDescent="0.25">
      <c r="A40" s="377"/>
      <c r="B40" s="992" t="s">
        <v>688</v>
      </c>
      <c r="C40" s="992"/>
      <c r="D40" s="992"/>
      <c r="E40" s="374"/>
      <c r="F40" s="6"/>
      <c r="G40" s="1005" t="s">
        <v>689</v>
      </c>
      <c r="H40" s="1005"/>
      <c r="I40" s="1005"/>
    </row>
    <row r="41" spans="1:12" s="1" customFormat="1" x14ac:dyDescent="0.25">
      <c r="A41" s="377"/>
      <c r="B41" s="992" t="s">
        <v>843</v>
      </c>
      <c r="C41" s="992"/>
      <c r="D41" s="992"/>
      <c r="E41" s="374"/>
      <c r="F41" s="6"/>
      <c r="G41" s="377" t="s">
        <v>690</v>
      </c>
      <c r="H41" s="378" t="s">
        <v>691</v>
      </c>
      <c r="I41" s="377" t="s">
        <v>692</v>
      </c>
    </row>
    <row r="42" spans="1:12" s="1" customFormat="1" x14ac:dyDescent="0.25">
      <c r="A42" s="377"/>
      <c r="B42" s="988" t="s">
        <v>247</v>
      </c>
      <c r="C42" s="988"/>
      <c r="D42" s="988"/>
      <c r="E42" s="376">
        <f>SUM(E32:E40)</f>
        <v>0</v>
      </c>
      <c r="F42" s="6"/>
      <c r="G42" s="377" t="s">
        <v>693</v>
      </c>
      <c r="H42" s="377" t="s">
        <v>694</v>
      </c>
      <c r="I42" s="377" t="s">
        <v>695</v>
      </c>
    </row>
    <row r="43" spans="1:12" s="1" customFormat="1" x14ac:dyDescent="0.25">
      <c r="A43" s="497"/>
      <c r="B43" s="6"/>
      <c r="C43" s="6"/>
      <c r="D43" s="6"/>
      <c r="E43" s="94" t="s">
        <v>730</v>
      </c>
      <c r="F43" s="6"/>
      <c r="G43" s="6"/>
      <c r="H43" s="6"/>
      <c r="I43" s="6"/>
    </row>
    <row r="44" spans="1:12" s="1" customFormat="1" x14ac:dyDescent="0.25">
      <c r="A44" s="497"/>
      <c r="B44" s="989" t="s">
        <v>696</v>
      </c>
      <c r="C44" s="990"/>
      <c r="D44" s="991"/>
      <c r="E44" s="267">
        <v>1</v>
      </c>
      <c r="F44" s="6"/>
      <c r="G44" s="377">
        <v>1</v>
      </c>
      <c r="H44" s="377" t="s">
        <v>697</v>
      </c>
      <c r="I44" s="6"/>
    </row>
    <row r="45" spans="1:12" s="1" customFormat="1"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3:E23"/>
    <mergeCell ref="B20:E20"/>
    <mergeCell ref="B16:E16"/>
    <mergeCell ref="B11:E11"/>
    <mergeCell ref="B12:E12"/>
    <mergeCell ref="B13:E13"/>
    <mergeCell ref="B14:E14"/>
    <mergeCell ref="B15:E15"/>
    <mergeCell ref="B10:E10"/>
    <mergeCell ref="Z5:AB5"/>
    <mergeCell ref="Z6:AA6"/>
    <mergeCell ref="Z8:AA8"/>
    <mergeCell ref="Z9:AA9"/>
    <mergeCell ref="Z10:AA10"/>
    <mergeCell ref="G7:H7"/>
    <mergeCell ref="Z16:AA16"/>
    <mergeCell ref="Z11:AA11"/>
    <mergeCell ref="Z12:AA12"/>
    <mergeCell ref="Z13:AA13"/>
    <mergeCell ref="Z14:AA14"/>
    <mergeCell ref="Z15:AA15"/>
    <mergeCell ref="G9:I9"/>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1:D31"/>
    <mergeCell ref="B32:D32"/>
    <mergeCell ref="B18:E18"/>
    <mergeCell ref="B17:E17"/>
    <mergeCell ref="B8:E8"/>
    <mergeCell ref="B9:E9"/>
    <mergeCell ref="B29:E29"/>
    <mergeCell ref="B26:E26"/>
    <mergeCell ref="B27:E27"/>
    <mergeCell ref="B28:E28"/>
    <mergeCell ref="B19:E19"/>
    <mergeCell ref="B21:E21"/>
    <mergeCell ref="B22:E22"/>
    <mergeCell ref="B24:E24"/>
    <mergeCell ref="B25:E25"/>
    <mergeCell ref="G2:H2"/>
    <mergeCell ref="B3:E3"/>
    <mergeCell ref="G3:H3"/>
    <mergeCell ref="B4:E4"/>
    <mergeCell ref="B5:E5"/>
    <mergeCell ref="B6:E6"/>
    <mergeCell ref="B7:E7"/>
    <mergeCell ref="G6:H6"/>
    <mergeCell ref="G4:H4"/>
    <mergeCell ref="G5:H5"/>
  </mergeCells>
  <conditionalFormatting sqref="B5">
    <cfRule type="containsText" dxfId="224" priority="1" operator="containsText" text="Terminé">
      <formula>NOT(ISERROR(SEARCH("Terminé",B5)))</formula>
    </cfRule>
    <cfRule type="containsText" dxfId="223" priority="2" operator="containsText" text="En cours">
      <formula>NOT(ISERROR(SEARCH("En cours",B5)))</formula>
    </cfRule>
    <cfRule type="containsText" dxfId="22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5"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6" workbookViewId="0">
      <selection activeCell="B8" sqref="B8:E8"/>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95</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37</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412</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395"/>
      <c r="J7" s="395"/>
      <c r="Z7" s="401"/>
      <c r="AA7" s="402"/>
      <c r="AB7" s="357"/>
    </row>
    <row r="8" spans="1:28" ht="24" customHeight="1" x14ac:dyDescent="0.25">
      <c r="A8" s="408" t="s">
        <v>1</v>
      </c>
      <c r="B8" s="967" t="s">
        <v>83</v>
      </c>
      <c r="C8" s="967"/>
      <c r="D8" s="967"/>
      <c r="E8" s="967"/>
      <c r="G8" s="1091" t="s">
        <v>936</v>
      </c>
      <c r="H8" s="1092"/>
      <c r="I8" s="1093"/>
      <c r="J8" s="432"/>
      <c r="Z8" s="1028" t="s">
        <v>611</v>
      </c>
      <c r="AA8" s="1029"/>
      <c r="AB8" s="357">
        <v>0.26819999999999999</v>
      </c>
    </row>
    <row r="9" spans="1:28" ht="24" customHeight="1" x14ac:dyDescent="0.25">
      <c r="A9" s="408" t="s">
        <v>0</v>
      </c>
      <c r="B9" s="967" t="s">
        <v>767</v>
      </c>
      <c r="C9" s="967"/>
      <c r="D9" s="967"/>
      <c r="E9" s="967"/>
      <c r="G9" s="1094"/>
      <c r="H9" s="1095"/>
      <c r="I9" s="1096"/>
      <c r="J9" s="432"/>
      <c r="Z9" s="1028" t="s">
        <v>612</v>
      </c>
      <c r="AA9" s="1029"/>
      <c r="AB9" s="357">
        <v>3.1300000000000001E-2</v>
      </c>
    </row>
    <row r="10" spans="1:28" ht="47.25" customHeight="1" x14ac:dyDescent="0.25">
      <c r="A10" s="408" t="s">
        <v>2</v>
      </c>
      <c r="B10" s="1034" t="s">
        <v>953</v>
      </c>
      <c r="C10" s="1034"/>
      <c r="D10" s="1034"/>
      <c r="E10" s="1034"/>
      <c r="G10" s="1097"/>
      <c r="H10" s="1098"/>
      <c r="I10" s="1096"/>
      <c r="J10" s="432"/>
      <c r="Z10" s="1028"/>
      <c r="AA10" s="1029"/>
      <c r="AB10" s="357"/>
    </row>
    <row r="11" spans="1:28" ht="29.25" customHeight="1" x14ac:dyDescent="0.25">
      <c r="A11" s="408" t="s">
        <v>29</v>
      </c>
      <c r="B11" s="1035" t="s">
        <v>768</v>
      </c>
      <c r="C11" s="1035"/>
      <c r="D11" s="1035"/>
      <c r="E11" s="1035"/>
      <c r="G11" s="431" t="s">
        <v>502</v>
      </c>
      <c r="H11" s="431" t="s">
        <v>540</v>
      </c>
      <c r="I11" s="629" t="s">
        <v>25</v>
      </c>
      <c r="J11" s="630" t="s">
        <v>1273</v>
      </c>
      <c r="Z11" s="1028" t="s">
        <v>613</v>
      </c>
      <c r="AA11" s="1029"/>
      <c r="AB11" s="357">
        <v>0.26819999999999999</v>
      </c>
    </row>
    <row r="12" spans="1:28" ht="30" customHeight="1" x14ac:dyDescent="0.25">
      <c r="A12" s="408" t="s">
        <v>14</v>
      </c>
      <c r="B12" s="1010" t="s">
        <v>939</v>
      </c>
      <c r="C12" s="1010"/>
      <c r="D12" s="1010"/>
      <c r="E12" s="1010"/>
      <c r="G12" s="185" t="s">
        <v>1272</v>
      </c>
      <c r="H12" s="254">
        <v>2665</v>
      </c>
      <c r="I12" s="752">
        <v>10000</v>
      </c>
      <c r="J12" s="753">
        <f>I12*0.3</f>
        <v>3000</v>
      </c>
      <c r="Z12" s="1028" t="s">
        <v>614</v>
      </c>
      <c r="AA12" s="1029"/>
      <c r="AB12" s="357">
        <v>1.18E-2</v>
      </c>
    </row>
    <row r="13" spans="1:28" ht="30" customHeight="1" x14ac:dyDescent="0.25">
      <c r="A13" s="408" t="s">
        <v>3</v>
      </c>
      <c r="B13" s="1011" t="s">
        <v>943</v>
      </c>
      <c r="C13" s="1011"/>
      <c r="D13" s="1011"/>
      <c r="E13" s="1011"/>
      <c r="G13" s="185" t="s">
        <v>1181</v>
      </c>
      <c r="H13" s="480">
        <v>8000</v>
      </c>
      <c r="I13" s="479">
        <v>42366.3</v>
      </c>
      <c r="J13" s="753">
        <v>14828.2</v>
      </c>
      <c r="Z13" s="1028" t="s">
        <v>615</v>
      </c>
      <c r="AA13" s="1029"/>
      <c r="AB13" s="358">
        <f>AB15/0.55</f>
        <v>0.50363636363636366</v>
      </c>
    </row>
    <row r="14" spans="1:28" ht="30" customHeight="1" x14ac:dyDescent="0.25">
      <c r="A14" s="408" t="s">
        <v>15</v>
      </c>
      <c r="B14" s="1010"/>
      <c r="C14" s="1010"/>
      <c r="D14" s="1010"/>
      <c r="E14" s="1010"/>
      <c r="G14" s="185" t="s">
        <v>1080</v>
      </c>
      <c r="H14" s="480">
        <v>11093</v>
      </c>
      <c r="I14" s="479">
        <v>38377.57</v>
      </c>
      <c r="J14" s="753">
        <v>13.432</v>
      </c>
      <c r="Z14" s="1028" t="s">
        <v>616</v>
      </c>
      <c r="AA14" s="1029"/>
      <c r="AB14" s="357">
        <v>0.26819999999999999</v>
      </c>
    </row>
    <row r="15" spans="1:28" ht="30" customHeight="1" x14ac:dyDescent="0.25">
      <c r="A15" s="408" t="s">
        <v>4</v>
      </c>
      <c r="B15" s="1010">
        <v>2019</v>
      </c>
      <c r="C15" s="1010"/>
      <c r="D15" s="1010"/>
      <c r="E15" s="1010"/>
      <c r="G15" s="185" t="s">
        <v>1271</v>
      </c>
      <c r="H15" s="480">
        <v>5000</v>
      </c>
      <c r="I15" s="479">
        <v>20000</v>
      </c>
      <c r="J15" s="629">
        <v>7000</v>
      </c>
      <c r="Z15" s="1028" t="s">
        <v>578</v>
      </c>
      <c r="AA15" s="1029"/>
      <c r="AB15" s="357">
        <v>0.27700000000000002</v>
      </c>
    </row>
    <row r="16" spans="1:28" ht="30" customHeight="1" x14ac:dyDescent="0.25">
      <c r="A16" s="408" t="s">
        <v>5</v>
      </c>
      <c r="B16" s="1010">
        <v>2030</v>
      </c>
      <c r="C16" s="1010"/>
      <c r="D16" s="1010"/>
      <c r="E16" s="1010"/>
      <c r="G16" s="185"/>
      <c r="H16" s="480"/>
      <c r="I16" s="479"/>
      <c r="J16" s="267"/>
      <c r="Z16" s="1028" t="s">
        <v>579</v>
      </c>
      <c r="AA16" s="1029"/>
      <c r="AB16" s="357">
        <v>0.20269999999999999</v>
      </c>
    </row>
    <row r="17" spans="1:10" ht="30" customHeight="1" x14ac:dyDescent="0.25">
      <c r="A17" s="408" t="s">
        <v>6</v>
      </c>
      <c r="B17" s="1087">
        <f>I18</f>
        <v>110743.87</v>
      </c>
      <c r="C17" s="1087"/>
      <c r="D17" s="1087"/>
      <c r="E17" s="1087"/>
      <c r="G17" s="185"/>
      <c r="H17" s="480"/>
      <c r="I17" s="479"/>
      <c r="J17" s="267"/>
    </row>
    <row r="18" spans="1:10" ht="30" customHeight="1" x14ac:dyDescent="0.25">
      <c r="A18" s="408" t="s">
        <v>7</v>
      </c>
      <c r="B18" s="1087">
        <f>B17*0.6</f>
        <v>66446.322</v>
      </c>
      <c r="C18" s="1087"/>
      <c r="D18" s="1087"/>
      <c r="E18" s="1087"/>
      <c r="G18" s="185"/>
      <c r="H18" s="480">
        <f>SUM(H12:H17)</f>
        <v>26758</v>
      </c>
      <c r="I18" s="604">
        <f>SUM(I12:I17)</f>
        <v>110743.87</v>
      </c>
    </row>
    <row r="19" spans="1:10" ht="30" customHeight="1" x14ac:dyDescent="0.25">
      <c r="A19" s="99" t="s">
        <v>307</v>
      </c>
      <c r="B19" s="1039">
        <f>(SUM(H12:H18))*10*G21</f>
        <v>133790</v>
      </c>
      <c r="C19" s="1040"/>
      <c r="D19" s="1040"/>
      <c r="E19" s="1040"/>
      <c r="G19" s="2"/>
      <c r="H19" s="2"/>
    </row>
    <row r="20" spans="1:10" ht="30" customHeight="1" x14ac:dyDescent="0.25">
      <c r="A20" s="96" t="s">
        <v>306</v>
      </c>
      <c r="B20" s="1041"/>
      <c r="C20" s="1042"/>
      <c r="D20" s="1042"/>
      <c r="E20" s="1042"/>
      <c r="G20" s="59" t="s">
        <v>156</v>
      </c>
      <c r="H20" s="59" t="s">
        <v>149</v>
      </c>
      <c r="I20" s="60" t="s">
        <v>157</v>
      </c>
    </row>
    <row r="21" spans="1:10" ht="30" customHeight="1" x14ac:dyDescent="0.25">
      <c r="A21" s="408" t="s">
        <v>8</v>
      </c>
      <c r="B21" s="1000">
        <f>B19*H21/10</f>
        <v>9365.2999999999993</v>
      </c>
      <c r="C21" s="1000"/>
      <c r="D21" s="1000"/>
      <c r="E21" s="1000"/>
      <c r="G21" s="405">
        <v>0.25</v>
      </c>
      <c r="H21" s="405">
        <v>0.7</v>
      </c>
      <c r="I21" s="404">
        <f>AB8</f>
        <v>0.26819999999999999</v>
      </c>
    </row>
    <row r="22" spans="1:10" ht="30" customHeight="1" x14ac:dyDescent="0.25">
      <c r="A22" s="408" t="s">
        <v>9</v>
      </c>
      <c r="B22" s="1000"/>
      <c r="C22" s="1000"/>
      <c r="D22" s="1000"/>
      <c r="E22" s="1000"/>
    </row>
    <row r="23" spans="1:10" ht="30" customHeight="1" x14ac:dyDescent="0.25">
      <c r="A23" s="408" t="s">
        <v>301</v>
      </c>
      <c r="B23" s="1016">
        <f>B17/(B21+B22)</f>
        <v>11.824914311340802</v>
      </c>
      <c r="C23" s="1016"/>
      <c r="D23" s="1016"/>
      <c r="E23" s="1016"/>
    </row>
    <row r="24" spans="1:10" ht="30" customHeight="1" x14ac:dyDescent="0.25">
      <c r="A24" s="408" t="s">
        <v>302</v>
      </c>
      <c r="B24" s="1017">
        <f>(B17-B18)/(B21+B22)</f>
        <v>4.7299657245363198</v>
      </c>
      <c r="C24" s="1017"/>
      <c r="D24" s="1017"/>
      <c r="E24" s="1017"/>
    </row>
    <row r="25" spans="1:10" ht="30" customHeight="1" x14ac:dyDescent="0.25">
      <c r="A25" s="100" t="s">
        <v>305</v>
      </c>
      <c r="B25" s="1036">
        <f>B19*I21/1000</f>
        <v>35.882478000000006</v>
      </c>
      <c r="C25" s="1036"/>
      <c r="D25" s="1036"/>
      <c r="E25" s="1036"/>
    </row>
    <row r="26" spans="1:10" ht="30" customHeight="1" x14ac:dyDescent="0.25">
      <c r="A26" s="101" t="s">
        <v>303</v>
      </c>
      <c r="B26" s="1058">
        <f>B25/'Objectifs CO2'!C11</f>
        <v>1.6549646662006774E-2</v>
      </c>
      <c r="C26" s="1058"/>
      <c r="D26" s="1058"/>
      <c r="E26" s="1058"/>
    </row>
    <row r="27" spans="1:10" ht="30" customHeight="1" x14ac:dyDescent="0.25">
      <c r="A27" s="101" t="s">
        <v>304</v>
      </c>
      <c r="B27" s="1056">
        <f>B25/'Objectifs CO2'!C4</f>
        <v>1.6549646662006772E-3</v>
      </c>
      <c r="C27" s="1057"/>
      <c r="D27" s="1057"/>
      <c r="E27" s="1057"/>
    </row>
    <row r="28" spans="1:10" ht="30" customHeight="1" x14ac:dyDescent="0.25">
      <c r="A28" s="101" t="s">
        <v>22</v>
      </c>
      <c r="B28" s="999"/>
      <c r="C28" s="999"/>
      <c r="D28" s="999"/>
      <c r="E28" s="999"/>
    </row>
    <row r="29" spans="1:10" ht="30" customHeight="1" x14ac:dyDescent="0.25">
      <c r="A29" s="101" t="s">
        <v>257</v>
      </c>
      <c r="B29" s="999"/>
      <c r="C29" s="999"/>
      <c r="D29" s="999"/>
      <c r="E29" s="999"/>
    </row>
    <row r="31" spans="1:10" x14ac:dyDescent="0.25">
      <c r="A31" s="603" t="s">
        <v>1065</v>
      </c>
      <c r="B31" s="1003" t="s">
        <v>675</v>
      </c>
      <c r="C31" s="1003"/>
      <c r="D31" s="1003"/>
      <c r="E31" s="56" t="s">
        <v>676</v>
      </c>
    </row>
    <row r="32" spans="1:10"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G8:I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29:E29"/>
    <mergeCell ref="B31:D31"/>
    <mergeCell ref="B32:D32"/>
    <mergeCell ref="G32:I32"/>
    <mergeCell ref="B33:D33"/>
    <mergeCell ref="H33:I33"/>
    <mergeCell ref="B44:D44"/>
    <mergeCell ref="B34:D34"/>
    <mergeCell ref="H34:I34"/>
    <mergeCell ref="B35:D35"/>
    <mergeCell ref="H35:I35"/>
    <mergeCell ref="B36:D36"/>
    <mergeCell ref="B37:D37"/>
    <mergeCell ref="B38:D38"/>
    <mergeCell ref="B39:D39"/>
    <mergeCell ref="B40:D40"/>
    <mergeCell ref="G40:I40"/>
    <mergeCell ref="B42:D42"/>
    <mergeCell ref="B41:D41"/>
  </mergeCells>
  <conditionalFormatting sqref="B5">
    <cfRule type="containsText" dxfId="221" priority="1" operator="containsText" text="Terminé">
      <formula>NOT(ISERROR(SEARCH("Terminé",B5)))</formula>
    </cfRule>
    <cfRule type="containsText" dxfId="220" priority="2" operator="containsText" text="En cours">
      <formula>NOT(ISERROR(SEARCH("En cours",B5)))</formula>
    </cfRule>
    <cfRule type="containsText" dxfId="21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3" zoomScaleNormal="100" workbookViewId="0">
      <selection activeCell="B8" sqref="B8:E8"/>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276"/>
      <c r="G1" s="7"/>
      <c r="H1" s="7"/>
    </row>
    <row r="2" spans="1:28" ht="19.5" customHeight="1" x14ac:dyDescent="0.25">
      <c r="A2" s="415" t="s">
        <v>750</v>
      </c>
      <c r="B2" s="1068" t="s">
        <v>96</v>
      </c>
      <c r="C2" s="1068"/>
      <c r="D2" s="1068"/>
      <c r="E2" s="1068"/>
      <c r="F2" s="7"/>
      <c r="G2" s="986" t="s">
        <v>751</v>
      </c>
      <c r="H2" s="986"/>
    </row>
    <row r="3" spans="1:28" ht="19.5" customHeight="1" x14ac:dyDescent="0.25">
      <c r="A3" s="409" t="s">
        <v>743</v>
      </c>
      <c r="B3" s="987" t="s">
        <v>457</v>
      </c>
      <c r="C3" s="987"/>
      <c r="D3" s="987"/>
      <c r="E3" s="987"/>
      <c r="F3" s="7"/>
      <c r="G3" s="986" t="s">
        <v>752</v>
      </c>
      <c r="H3" s="986"/>
      <c r="I3" s="6"/>
      <c r="J3" s="6"/>
    </row>
    <row r="4" spans="1:28" ht="19.5" customHeight="1" x14ac:dyDescent="0.25">
      <c r="A4" s="403" t="s">
        <v>292</v>
      </c>
      <c r="B4" s="996" t="s">
        <v>36</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1001</v>
      </c>
      <c r="C8" s="967"/>
      <c r="D8" s="967"/>
      <c r="E8" s="967"/>
      <c r="F8" s="6"/>
      <c r="G8" s="997" t="s">
        <v>936</v>
      </c>
      <c r="H8" s="6"/>
      <c r="I8" s="6"/>
      <c r="J8" s="6"/>
      <c r="K8" s="6"/>
      <c r="L8" s="6"/>
      <c r="M8" s="6"/>
      <c r="N8" s="6"/>
      <c r="Z8" s="1028" t="s">
        <v>611</v>
      </c>
      <c r="AA8" s="1029"/>
      <c r="AB8" s="357">
        <v>0.26819999999999999</v>
      </c>
    </row>
    <row r="9" spans="1:28" ht="24" customHeight="1" x14ac:dyDescent="0.25">
      <c r="A9" s="98" t="s">
        <v>0</v>
      </c>
      <c r="B9" s="967" t="s">
        <v>1126</v>
      </c>
      <c r="C9" s="967"/>
      <c r="D9" s="967"/>
      <c r="E9" s="967"/>
      <c r="F9" s="6"/>
      <c r="G9" s="997"/>
      <c r="H9" s="6"/>
      <c r="I9" s="6"/>
      <c r="J9" s="6"/>
      <c r="K9" s="6"/>
      <c r="L9" s="6"/>
      <c r="M9" s="6"/>
      <c r="N9" s="6"/>
      <c r="Z9" s="1028" t="s">
        <v>612</v>
      </c>
      <c r="AA9" s="1029"/>
      <c r="AB9" s="357">
        <v>3.1300000000000001E-2</v>
      </c>
    </row>
    <row r="10" spans="1:28" ht="126" customHeight="1" x14ac:dyDescent="0.25">
      <c r="A10" s="98" t="s">
        <v>2</v>
      </c>
      <c r="B10" s="1100" t="s">
        <v>455</v>
      </c>
      <c r="C10" s="1101"/>
      <c r="D10" s="1101"/>
      <c r="E10" s="1101"/>
      <c r="F10" s="6"/>
      <c r="G10" s="997"/>
      <c r="H10" s="7"/>
      <c r="I10" s="6"/>
      <c r="J10" s="6"/>
      <c r="K10" s="6"/>
      <c r="L10" s="6"/>
      <c r="M10" s="6"/>
      <c r="N10" s="6"/>
      <c r="Z10" s="1028"/>
      <c r="AA10" s="1029"/>
      <c r="AB10" s="357"/>
    </row>
    <row r="11" spans="1:28" ht="64.5" customHeight="1" x14ac:dyDescent="0.25">
      <c r="A11" s="98" t="s">
        <v>29</v>
      </c>
      <c r="B11" s="1099" t="s">
        <v>454</v>
      </c>
      <c r="C11" s="1099"/>
      <c r="D11" s="1099"/>
      <c r="E11" s="1099"/>
      <c r="F11" s="6"/>
      <c r="G11" s="254">
        <v>32</v>
      </c>
      <c r="H11" s="131" t="s">
        <v>562</v>
      </c>
      <c r="I11" s="6" t="s">
        <v>1059</v>
      </c>
      <c r="J11" s="6"/>
      <c r="K11" s="6"/>
      <c r="L11" s="6"/>
      <c r="M11" s="6"/>
      <c r="N11" s="6"/>
      <c r="Z11" s="1028" t="s">
        <v>613</v>
      </c>
      <c r="AA11" s="1029"/>
      <c r="AB11" s="357">
        <v>0.26819999999999999</v>
      </c>
    </row>
    <row r="12" spans="1:28" ht="30" customHeight="1" x14ac:dyDescent="0.25">
      <c r="A12" s="98" t="s">
        <v>14</v>
      </c>
      <c r="B12" s="1010" t="s">
        <v>36</v>
      </c>
      <c r="C12" s="1010"/>
      <c r="D12" s="1010"/>
      <c r="E12" s="1010"/>
      <c r="F12" s="6"/>
      <c r="G12" s="254">
        <v>12</v>
      </c>
      <c r="H12" s="131" t="s">
        <v>563</v>
      </c>
      <c r="I12" s="6"/>
      <c r="J12" s="6"/>
      <c r="K12" s="6"/>
      <c r="L12" s="6"/>
      <c r="M12" s="6"/>
      <c r="N12" s="6"/>
      <c r="Z12" s="1028" t="s">
        <v>614</v>
      </c>
      <c r="AA12" s="1029"/>
      <c r="AB12" s="357">
        <v>1.18E-2</v>
      </c>
    </row>
    <row r="13" spans="1:28" ht="30" customHeight="1" x14ac:dyDescent="0.25">
      <c r="A13" s="98" t="s">
        <v>3</v>
      </c>
      <c r="B13" s="1010"/>
      <c r="C13" s="1010"/>
      <c r="D13" s="1010"/>
      <c r="E13" s="1010"/>
      <c r="F13" s="6"/>
      <c r="G13" s="256">
        <f>'Objectifs CO2'!X30</f>
        <v>197.3478485989105</v>
      </c>
      <c r="H13" s="437" t="s">
        <v>827</v>
      </c>
      <c r="I13" s="6"/>
      <c r="J13" s="6"/>
      <c r="K13" s="6"/>
      <c r="L13" s="6"/>
      <c r="M13" s="6"/>
      <c r="N13" s="6"/>
      <c r="Z13" s="1028" t="s">
        <v>615</v>
      </c>
      <c r="AA13" s="1029"/>
      <c r="AB13" s="358">
        <f>AB15/0.55</f>
        <v>0.50363636363636366</v>
      </c>
    </row>
    <row r="14" spans="1:28" ht="30" customHeight="1" x14ac:dyDescent="0.25">
      <c r="A14" s="98" t="s">
        <v>15</v>
      </c>
      <c r="B14" s="1010" t="s">
        <v>505</v>
      </c>
      <c r="C14" s="1010"/>
      <c r="D14" s="1010"/>
      <c r="E14" s="1010"/>
      <c r="F14" s="6"/>
      <c r="G14" s="256">
        <f>'Objectifs CO2'!Z30</f>
        <v>3088.4873415241746</v>
      </c>
      <c r="H14" s="437" t="s">
        <v>828</v>
      </c>
      <c r="I14" s="6"/>
      <c r="J14" s="6"/>
      <c r="K14" s="6"/>
      <c r="L14" s="6"/>
      <c r="M14" s="6"/>
      <c r="N14" s="6"/>
      <c r="Z14" s="1028" t="s">
        <v>616</v>
      </c>
      <c r="AA14" s="1029"/>
      <c r="AB14" s="357">
        <v>0.26819999999999999</v>
      </c>
    </row>
    <row r="15" spans="1:28" ht="30" customHeight="1" x14ac:dyDescent="0.25">
      <c r="A15" s="98" t="s">
        <v>4</v>
      </c>
      <c r="B15" s="1010">
        <v>2020</v>
      </c>
      <c r="C15" s="1010"/>
      <c r="D15" s="1010"/>
      <c r="E15" s="1010"/>
      <c r="F15" s="6"/>
      <c r="Z15" s="1028" t="s">
        <v>578</v>
      </c>
      <c r="AA15" s="1029"/>
      <c r="AB15" s="357">
        <v>0.27700000000000002</v>
      </c>
    </row>
    <row r="16" spans="1:28" ht="30" customHeight="1" x14ac:dyDescent="0.25">
      <c r="A16" s="98" t="s">
        <v>5</v>
      </c>
      <c r="B16" s="1010">
        <v>2025</v>
      </c>
      <c r="C16" s="1010"/>
      <c r="D16" s="1010"/>
      <c r="E16" s="1010"/>
      <c r="F16" s="6"/>
      <c r="G16" s="72" t="s">
        <v>192</v>
      </c>
      <c r="H16" s="61" t="s">
        <v>193</v>
      </c>
      <c r="I16" s="72" t="s">
        <v>194</v>
      </c>
      <c r="J16" s="72" t="s">
        <v>195</v>
      </c>
      <c r="K16" s="95" t="s">
        <v>481</v>
      </c>
      <c r="L16" s="95" t="s">
        <v>507</v>
      </c>
      <c r="Z16" s="1028" t="s">
        <v>579</v>
      </c>
      <c r="AA16" s="1029"/>
      <c r="AB16" s="357">
        <v>0.20269999999999999</v>
      </c>
    </row>
    <row r="17" spans="1:12" ht="30" customHeight="1" x14ac:dyDescent="0.25">
      <c r="A17" s="98" t="s">
        <v>6</v>
      </c>
      <c r="B17" s="1000">
        <f>H17*J20</f>
        <v>18000</v>
      </c>
      <c r="C17" s="1000"/>
      <c r="D17" s="1000"/>
      <c r="E17" s="1000"/>
      <c r="F17" s="6"/>
      <c r="G17" s="72">
        <f>SUM(G11:L11)</f>
        <v>32</v>
      </c>
      <c r="H17" s="61">
        <f>SUM(G12:L12)</f>
        <v>12</v>
      </c>
      <c r="I17" s="216">
        <f>SUM(G13:L13)</f>
        <v>197.3478485989105</v>
      </c>
      <c r="J17" s="216">
        <f>SUM(G14:L14)</f>
        <v>3088.4873415241746</v>
      </c>
      <c r="K17" s="95">
        <v>0.2</v>
      </c>
      <c r="L17" s="95">
        <v>0.7</v>
      </c>
    </row>
    <row r="18" spans="1:12" ht="30" customHeight="1" x14ac:dyDescent="0.25">
      <c r="A18" s="98" t="s">
        <v>7</v>
      </c>
      <c r="B18" s="1000">
        <v>0</v>
      </c>
      <c r="C18" s="1000"/>
      <c r="D18" s="1000"/>
      <c r="E18" s="1000"/>
      <c r="F18" s="6"/>
      <c r="G18" s="6"/>
      <c r="H18" s="6"/>
      <c r="I18" s="6"/>
      <c r="J18" s="6"/>
      <c r="K18" s="6"/>
    </row>
    <row r="19" spans="1:12" ht="30" customHeight="1" x14ac:dyDescent="0.25">
      <c r="A19" s="99" t="s">
        <v>307</v>
      </c>
      <c r="B19" s="1039">
        <f>(I17*H17/G17*G20+J17*H17/G17*G20)*1000</f>
        <v>246437.63925923139</v>
      </c>
      <c r="C19" s="1040"/>
      <c r="D19" s="1040"/>
      <c r="E19" s="1040"/>
      <c r="F19" s="6"/>
      <c r="G19" s="61" t="s">
        <v>196</v>
      </c>
      <c r="H19" s="72" t="s">
        <v>197</v>
      </c>
      <c r="I19" s="72" t="s">
        <v>198</v>
      </c>
      <c r="J19" s="61" t="s">
        <v>199</v>
      </c>
      <c r="K19" s="61" t="s">
        <v>200</v>
      </c>
    </row>
    <row r="20" spans="1:12" ht="30" customHeight="1" x14ac:dyDescent="0.25">
      <c r="A20" s="96" t="s">
        <v>306</v>
      </c>
      <c r="B20" s="1041">
        <f>G25*H25</f>
        <v>0</v>
      </c>
      <c r="C20" s="1041"/>
      <c r="D20" s="1041"/>
      <c r="E20" s="1041"/>
      <c r="F20" s="6"/>
      <c r="G20" s="61">
        <v>0.2</v>
      </c>
      <c r="H20" s="72">
        <f>AB8</f>
        <v>0.26819999999999999</v>
      </c>
      <c r="I20" s="72">
        <f>AB15</f>
        <v>0.27700000000000002</v>
      </c>
      <c r="J20" s="61">
        <v>1500</v>
      </c>
      <c r="K20" s="61">
        <f>J20/2</f>
        <v>750</v>
      </c>
    </row>
    <row r="21" spans="1:12" ht="30" customHeight="1" x14ac:dyDescent="0.25">
      <c r="A21" s="98" t="s">
        <v>8</v>
      </c>
      <c r="B21" s="1000">
        <f>I17*1000*G20*H17/G17*K17+J17*G20*H17/G17*100*L17</f>
        <v>19174.776271985571</v>
      </c>
      <c r="C21" s="1000"/>
      <c r="D21" s="1000"/>
      <c r="E21" s="1000"/>
      <c r="F21" s="6"/>
      <c r="G21" s="6"/>
      <c r="H21" s="6"/>
      <c r="I21" s="6"/>
      <c r="J21" s="6"/>
      <c r="K21" s="6"/>
    </row>
    <row r="22" spans="1:12" ht="30" customHeight="1" x14ac:dyDescent="0.25">
      <c r="A22" s="98" t="s">
        <v>9</v>
      </c>
      <c r="B22" s="1000">
        <v>0</v>
      </c>
      <c r="C22" s="1000"/>
      <c r="D22" s="1000"/>
      <c r="E22" s="1000"/>
      <c r="F22" s="6"/>
      <c r="G22" s="6"/>
      <c r="H22" s="6"/>
      <c r="I22" s="6"/>
      <c r="J22" s="6"/>
      <c r="K22" s="6"/>
    </row>
    <row r="23" spans="1:12" ht="30" customHeight="1" x14ac:dyDescent="0.25">
      <c r="A23" s="98" t="s">
        <v>301</v>
      </c>
      <c r="B23" s="1016">
        <f>B17/(B21+B22)</f>
        <v>0.93873324750589537</v>
      </c>
      <c r="C23" s="1016"/>
      <c r="D23" s="1016"/>
      <c r="E23" s="1016"/>
      <c r="F23" s="6"/>
      <c r="G23" s="6"/>
      <c r="H23" s="6"/>
      <c r="I23" s="6"/>
      <c r="J23" s="6"/>
      <c r="K23" s="6"/>
    </row>
    <row r="24" spans="1:12" ht="30" customHeight="1" x14ac:dyDescent="0.25">
      <c r="A24" s="98" t="s">
        <v>302</v>
      </c>
      <c r="B24" s="1017">
        <f>(B17-B18)/(B21+B22)</f>
        <v>0.93873324750589537</v>
      </c>
      <c r="C24" s="1017"/>
      <c r="D24" s="1017"/>
      <c r="E24" s="1017"/>
      <c r="F24" s="6"/>
      <c r="G24" s="6"/>
      <c r="H24" s="6"/>
      <c r="I24" s="6"/>
      <c r="J24" s="6"/>
      <c r="K24" s="6"/>
    </row>
    <row r="25" spans="1:12" ht="30" customHeight="1" x14ac:dyDescent="0.25">
      <c r="A25" s="100" t="s">
        <v>305</v>
      </c>
      <c r="B25" s="1070">
        <f>I17*H17/G17*I20*G20+J17*H17/G17*H20*G20</f>
        <v>66.224824429401139</v>
      </c>
      <c r="C25" s="1070"/>
      <c r="D25" s="1070"/>
      <c r="E25" s="1070"/>
      <c r="F25" s="6"/>
      <c r="G25" s="6"/>
      <c r="H25" s="6"/>
      <c r="I25" s="6"/>
      <c r="J25" s="6"/>
      <c r="K25" s="6"/>
    </row>
    <row r="26" spans="1:12" ht="30" customHeight="1" x14ac:dyDescent="0.25">
      <c r="A26" s="101" t="s">
        <v>303</v>
      </c>
      <c r="B26" s="1058">
        <f>B25/'Objectifs CO2'!C6</f>
        <v>6.1088169248513041E-2</v>
      </c>
      <c r="C26" s="1058"/>
      <c r="D26" s="1058"/>
      <c r="E26" s="1058"/>
      <c r="F26" s="6"/>
    </row>
    <row r="27" spans="1:12" ht="30" customHeight="1" x14ac:dyDescent="0.25">
      <c r="A27" s="101" t="s">
        <v>304</v>
      </c>
      <c r="B27" s="1056">
        <f>B25/'Objectifs CO2'!C4</f>
        <v>3.0544084624256522E-3</v>
      </c>
      <c r="C27" s="1057"/>
      <c r="D27" s="1057"/>
      <c r="E27" s="1057"/>
      <c r="F27" s="6"/>
    </row>
    <row r="28" spans="1:12" ht="30" customHeight="1" x14ac:dyDescent="0.25">
      <c r="A28" s="101" t="s">
        <v>22</v>
      </c>
      <c r="B28" s="1010"/>
      <c r="C28" s="1010"/>
      <c r="D28" s="1010"/>
      <c r="E28" s="1010"/>
      <c r="F28" s="6"/>
    </row>
    <row r="29" spans="1:12" ht="30" customHeight="1" x14ac:dyDescent="0.25">
      <c r="A29" s="101" t="s">
        <v>257</v>
      </c>
      <c r="B29" s="999" t="s">
        <v>281</v>
      </c>
      <c r="C29" s="999"/>
      <c r="D29" s="999"/>
      <c r="E29" s="999"/>
      <c r="F29" s="6" t="s">
        <v>264</v>
      </c>
      <c r="G29" s="6"/>
    </row>
    <row r="31" spans="1:12" x14ac:dyDescent="0.25">
      <c r="A31" s="603" t="s">
        <v>1065</v>
      </c>
      <c r="B31" s="1003" t="s">
        <v>675</v>
      </c>
      <c r="C31" s="1003"/>
      <c r="D31" s="1003"/>
      <c r="E31" s="56" t="s">
        <v>676</v>
      </c>
      <c r="F31" s="6"/>
      <c r="G31" s="6"/>
      <c r="H31" s="6"/>
      <c r="I31" s="6"/>
    </row>
    <row r="32" spans="1:12"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35:D35"/>
    <mergeCell ref="H35:I35"/>
    <mergeCell ref="B36:D36"/>
    <mergeCell ref="B42:D42"/>
    <mergeCell ref="B44:D44"/>
    <mergeCell ref="B37:D37"/>
    <mergeCell ref="G59:L59"/>
    <mergeCell ref="B60:F60"/>
    <mergeCell ref="G60:L60"/>
    <mergeCell ref="G46:L46"/>
    <mergeCell ref="B38:D38"/>
    <mergeCell ref="B39:D39"/>
    <mergeCell ref="B40:D40"/>
    <mergeCell ref="B41:D41"/>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B10:E10"/>
    <mergeCell ref="B19:E19"/>
    <mergeCell ref="B20:E20"/>
    <mergeCell ref="B18:E18"/>
    <mergeCell ref="B24:E24"/>
    <mergeCell ref="B25:E25"/>
    <mergeCell ref="B23:E23"/>
    <mergeCell ref="B26:E26"/>
    <mergeCell ref="B21:E21"/>
    <mergeCell ref="B22:E22"/>
    <mergeCell ref="B28:E28"/>
    <mergeCell ref="B29:E29"/>
    <mergeCell ref="B16:E16"/>
    <mergeCell ref="B11:E11"/>
    <mergeCell ref="B12:E12"/>
    <mergeCell ref="B13:E13"/>
    <mergeCell ref="B14:E14"/>
    <mergeCell ref="B15:E15"/>
    <mergeCell ref="B27:E27"/>
    <mergeCell ref="B17:E17"/>
    <mergeCell ref="B33:D33"/>
    <mergeCell ref="H33:I33"/>
    <mergeCell ref="G40:I40"/>
    <mergeCell ref="B34:D34"/>
    <mergeCell ref="H34:I34"/>
    <mergeCell ref="B8:E8"/>
    <mergeCell ref="B9:E9"/>
    <mergeCell ref="A1:E1"/>
    <mergeCell ref="B2:E2"/>
    <mergeCell ref="G2:H2"/>
    <mergeCell ref="B3:E3"/>
    <mergeCell ref="G3:H3"/>
    <mergeCell ref="B4:E4"/>
    <mergeCell ref="B5:E5"/>
    <mergeCell ref="B6:E6"/>
    <mergeCell ref="B7:E7"/>
    <mergeCell ref="G6:H6"/>
    <mergeCell ref="G4:H4"/>
    <mergeCell ref="G5:H5"/>
    <mergeCell ref="G7:H7"/>
    <mergeCell ref="B31:D31"/>
    <mergeCell ref="B32:D32"/>
    <mergeCell ref="G32:I32"/>
    <mergeCell ref="G8:G10"/>
  </mergeCells>
  <conditionalFormatting sqref="B5">
    <cfRule type="containsText" dxfId="218" priority="1" operator="containsText" text="Terminé">
      <formula>NOT(ISERROR(SEARCH("Terminé",B5)))</formula>
    </cfRule>
    <cfRule type="containsText" dxfId="217" priority="2" operator="containsText" text="En cours">
      <formula>NOT(ISERROR(SEARCH("En cours",B5)))</formula>
    </cfRule>
    <cfRule type="containsText" dxfId="21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3" zoomScaleNormal="100" workbookViewId="0">
      <selection activeCell="B8" sqref="B8:E8"/>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97</v>
      </c>
      <c r="C2" s="1068"/>
      <c r="D2" s="1068"/>
      <c r="E2" s="1068"/>
      <c r="F2" s="7"/>
      <c r="G2" s="986" t="s">
        <v>751</v>
      </c>
      <c r="H2" s="986"/>
    </row>
    <row r="3" spans="1:28" ht="19.5" customHeight="1" x14ac:dyDescent="0.25">
      <c r="A3" s="409" t="s">
        <v>743</v>
      </c>
      <c r="B3" s="987" t="s">
        <v>457</v>
      </c>
      <c r="C3" s="987"/>
      <c r="D3" s="987"/>
      <c r="E3" s="987"/>
      <c r="F3" s="7"/>
      <c r="G3" s="986" t="s">
        <v>752</v>
      </c>
      <c r="H3" s="986"/>
      <c r="I3" s="6"/>
      <c r="J3" s="6"/>
    </row>
    <row r="4" spans="1:28" ht="19.5" customHeight="1" x14ac:dyDescent="0.25">
      <c r="A4" s="403" t="s">
        <v>292</v>
      </c>
      <c r="B4" s="996" t="s">
        <v>54</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201</v>
      </c>
      <c r="C8" s="967"/>
      <c r="D8" s="967"/>
      <c r="E8" s="967"/>
      <c r="F8" s="6"/>
      <c r="G8" s="997" t="s">
        <v>936</v>
      </c>
      <c r="H8" s="6"/>
      <c r="I8" s="6"/>
      <c r="J8" s="6"/>
      <c r="K8" s="6"/>
      <c r="L8" s="6"/>
      <c r="M8" s="6"/>
      <c r="N8" s="6"/>
      <c r="O8" s="6"/>
      <c r="P8" s="6"/>
      <c r="Z8" s="1028" t="s">
        <v>611</v>
      </c>
      <c r="AA8" s="1029"/>
      <c r="AB8" s="357">
        <v>0.26819999999999999</v>
      </c>
    </row>
    <row r="9" spans="1:28" ht="24" customHeight="1" x14ac:dyDescent="0.25">
      <c r="A9" s="98" t="s">
        <v>0</v>
      </c>
      <c r="B9" s="967" t="s">
        <v>1127</v>
      </c>
      <c r="C9" s="967"/>
      <c r="D9" s="967"/>
      <c r="E9" s="967"/>
      <c r="F9" s="6"/>
      <c r="G9" s="997"/>
      <c r="H9" s="6"/>
      <c r="I9" s="6"/>
      <c r="J9" s="6"/>
      <c r="K9" s="6"/>
      <c r="L9" s="6"/>
      <c r="M9" s="6"/>
      <c r="N9" s="6"/>
      <c r="O9" s="6"/>
      <c r="P9" s="6"/>
      <c r="Q9" s="6"/>
      <c r="R9" s="6"/>
      <c r="S9" s="6"/>
      <c r="T9" s="6"/>
      <c r="U9" s="6"/>
      <c r="Z9" s="1028" t="s">
        <v>612</v>
      </c>
      <c r="AA9" s="1029"/>
      <c r="AB9" s="357">
        <v>3.1300000000000001E-2</v>
      </c>
    </row>
    <row r="10" spans="1:28" ht="15.75" x14ac:dyDescent="0.25">
      <c r="A10" s="98" t="s">
        <v>2</v>
      </c>
      <c r="B10" s="1034" t="s">
        <v>202</v>
      </c>
      <c r="C10" s="1035"/>
      <c r="D10" s="1035"/>
      <c r="E10" s="1035"/>
      <c r="F10" s="6"/>
      <c r="G10" s="997"/>
      <c r="H10" s="7"/>
      <c r="I10" s="6"/>
      <c r="J10" s="6"/>
      <c r="K10" s="6"/>
      <c r="L10" s="6"/>
      <c r="M10" s="6"/>
      <c r="N10" s="6"/>
      <c r="O10" s="6"/>
      <c r="P10" s="6"/>
      <c r="Z10" s="1028"/>
      <c r="AA10" s="1029"/>
      <c r="AB10" s="357"/>
    </row>
    <row r="11" spans="1:28" ht="15.75" x14ac:dyDescent="0.25">
      <c r="A11" s="98" t="s">
        <v>29</v>
      </c>
      <c r="B11" s="1034" t="s">
        <v>207</v>
      </c>
      <c r="C11" s="1035"/>
      <c r="D11" s="1035"/>
      <c r="E11" s="1035"/>
      <c r="F11" s="6"/>
      <c r="G11" s="254"/>
      <c r="H11" s="131" t="s">
        <v>562</v>
      </c>
      <c r="I11" s="6"/>
      <c r="J11" s="6"/>
      <c r="K11" s="6"/>
      <c r="L11" s="6"/>
      <c r="M11" s="6"/>
      <c r="N11" s="6"/>
      <c r="O11" s="6"/>
      <c r="P11" s="6"/>
      <c r="Z11" s="1028" t="s">
        <v>613</v>
      </c>
      <c r="AA11" s="1029"/>
      <c r="AB11" s="357">
        <v>0.26819999999999999</v>
      </c>
    </row>
    <row r="12" spans="1:28" ht="30" customHeight="1" x14ac:dyDescent="0.25">
      <c r="A12" s="98" t="s">
        <v>14</v>
      </c>
      <c r="B12" s="1010" t="s">
        <v>54</v>
      </c>
      <c r="C12" s="1010"/>
      <c r="D12" s="1010"/>
      <c r="E12" s="1010"/>
      <c r="F12" s="6"/>
      <c r="G12" s="254"/>
      <c r="H12" s="131" t="s">
        <v>563</v>
      </c>
      <c r="I12" s="6"/>
      <c r="J12" s="6"/>
      <c r="K12" s="6"/>
      <c r="L12" s="6"/>
      <c r="M12" s="6"/>
      <c r="N12" s="6"/>
      <c r="O12" s="6"/>
      <c r="P12" s="6"/>
      <c r="Z12" s="1028" t="s">
        <v>614</v>
      </c>
      <c r="AA12" s="1029"/>
      <c r="AB12" s="357">
        <v>1.18E-2</v>
      </c>
    </row>
    <row r="13" spans="1:28" ht="30" customHeight="1" x14ac:dyDescent="0.25">
      <c r="A13" s="98" t="s">
        <v>3</v>
      </c>
      <c r="B13" s="1010"/>
      <c r="C13" s="1010"/>
      <c r="D13" s="1010"/>
      <c r="E13" s="1010"/>
      <c r="F13" s="6"/>
      <c r="G13" s="256">
        <f>'Objectifs CO2'!X31</f>
        <v>38484.691474170722</v>
      </c>
      <c r="H13" s="256">
        <f>'Objectifs CO2'!X48</f>
        <v>0</v>
      </c>
      <c r="I13" s="256">
        <f>'Objectifs CO2'!X66</f>
        <v>0</v>
      </c>
      <c r="J13" s="256">
        <f>'Objectifs CO2'!X84</f>
        <v>0</v>
      </c>
      <c r="K13" s="256">
        <f>'Objectifs CO2'!X102</f>
        <v>0</v>
      </c>
      <c r="L13" s="256">
        <f>'Objectifs CO2'!X120</f>
        <v>0</v>
      </c>
      <c r="M13" s="265" t="s">
        <v>564</v>
      </c>
      <c r="Z13" s="1028" t="s">
        <v>615</v>
      </c>
      <c r="AA13" s="1029"/>
      <c r="AB13" s="358">
        <f>AB15/0.55</f>
        <v>0.50363636363636366</v>
      </c>
    </row>
    <row r="14" spans="1:28" ht="30" customHeight="1" x14ac:dyDescent="0.25">
      <c r="A14" s="98" t="s">
        <v>15</v>
      </c>
      <c r="B14" s="1010"/>
      <c r="C14" s="1010"/>
      <c r="D14" s="1010"/>
      <c r="E14" s="1010"/>
      <c r="F14" s="6"/>
      <c r="G14" s="256">
        <f>'Objectifs CO2'!Z31</f>
        <v>493.80792938818951</v>
      </c>
      <c r="H14" s="256">
        <f>'Objectifs CO2'!Z48</f>
        <v>0</v>
      </c>
      <c r="I14" s="256">
        <f>'Objectifs CO2'!Z66</f>
        <v>0</v>
      </c>
      <c r="J14" s="256">
        <f>'Objectifs CO2'!Z84</f>
        <v>0</v>
      </c>
      <c r="K14" s="256">
        <f>'Objectifs CO2'!Z103</f>
        <v>0</v>
      </c>
      <c r="L14" s="256">
        <f>'Objectifs CO2'!Z121</f>
        <v>0</v>
      </c>
      <c r="M14" s="265" t="s">
        <v>565</v>
      </c>
      <c r="Z14" s="1028" t="s">
        <v>616</v>
      </c>
      <c r="AA14" s="1029"/>
      <c r="AB14" s="357">
        <v>0.26819999999999999</v>
      </c>
    </row>
    <row r="15" spans="1:28" ht="30" customHeight="1" x14ac:dyDescent="0.25">
      <c r="A15" s="98" t="s">
        <v>4</v>
      </c>
      <c r="B15" s="1010">
        <v>2015</v>
      </c>
      <c r="C15" s="1010"/>
      <c r="D15" s="1010"/>
      <c r="E15" s="1010"/>
      <c r="F15" s="6"/>
      <c r="G15" s="256">
        <f>'Objectifs CO2'!Y31</f>
        <v>22828.78387710149</v>
      </c>
      <c r="H15" s="256">
        <f>'Objectifs CO2'!Z49</f>
        <v>0</v>
      </c>
      <c r="I15" s="256">
        <f>'Objectifs CO2'!Z67</f>
        <v>0</v>
      </c>
      <c r="J15" s="256">
        <f>'Objectifs CO2'!Z85</f>
        <v>0</v>
      </c>
      <c r="K15" s="256">
        <f>'Objectifs CO2'!Z104</f>
        <v>0</v>
      </c>
      <c r="L15" s="256">
        <f>'Objectifs CO2'!Z122</f>
        <v>0</v>
      </c>
      <c r="M15" s="605" t="s">
        <v>1109</v>
      </c>
      <c r="Z15" s="1028" t="s">
        <v>578</v>
      </c>
      <c r="AA15" s="1029"/>
      <c r="AB15" s="357">
        <v>0.27700000000000002</v>
      </c>
    </row>
    <row r="16" spans="1:28" ht="30" customHeight="1" x14ac:dyDescent="0.25">
      <c r="A16" s="98" t="s">
        <v>5</v>
      </c>
      <c r="B16" s="1010">
        <v>2030</v>
      </c>
      <c r="C16" s="1010"/>
      <c r="D16" s="1010"/>
      <c r="E16" s="1010"/>
      <c r="F16" s="6"/>
      <c r="G16" s="60" t="s">
        <v>203</v>
      </c>
      <c r="H16" s="617" t="s">
        <v>1110</v>
      </c>
      <c r="I16" s="60" t="s">
        <v>204</v>
      </c>
      <c r="J16" s="59" t="s">
        <v>205</v>
      </c>
      <c r="K16" s="59" t="s">
        <v>206</v>
      </c>
      <c r="L16" s="60" t="s">
        <v>119</v>
      </c>
      <c r="M16" s="617" t="s">
        <v>462</v>
      </c>
      <c r="N16" s="60" t="s">
        <v>118</v>
      </c>
      <c r="Z16" s="1028" t="s">
        <v>579</v>
      </c>
      <c r="AA16" s="1029"/>
      <c r="AB16" s="357">
        <v>0.20269999999999999</v>
      </c>
    </row>
    <row r="17" spans="1:14" ht="30" customHeight="1" x14ac:dyDescent="0.25">
      <c r="A17" s="98" t="s">
        <v>6</v>
      </c>
      <c r="B17" s="1012">
        <v>20000</v>
      </c>
      <c r="C17" s="1012"/>
      <c r="D17" s="1012"/>
      <c r="E17" s="1012"/>
      <c r="F17" s="6"/>
      <c r="G17" s="275">
        <f>SUM(G13:L13)</f>
        <v>38484.691474170722</v>
      </c>
      <c r="H17" s="618">
        <f>SUM(E15,G15)</f>
        <v>22828.78387710149</v>
      </c>
      <c r="I17" s="275">
        <f>SUM(G14:L14)</f>
        <v>493.80792938818951</v>
      </c>
      <c r="J17" s="59">
        <v>0.25</v>
      </c>
      <c r="K17" s="59">
        <v>0.25</v>
      </c>
      <c r="L17" s="359">
        <f>AB15</f>
        <v>0.27700000000000002</v>
      </c>
      <c r="M17" s="617">
        <f>AB16</f>
        <v>0.20269999999999999</v>
      </c>
      <c r="N17" s="60">
        <f>AB8</f>
        <v>0.26819999999999999</v>
      </c>
    </row>
    <row r="18" spans="1:14" ht="30" customHeight="1" x14ac:dyDescent="0.25">
      <c r="A18" s="98" t="s">
        <v>7</v>
      </c>
      <c r="B18" s="1012">
        <v>0</v>
      </c>
      <c r="C18" s="1012"/>
      <c r="D18" s="1012"/>
      <c r="E18" s="1012"/>
      <c r="F18" s="6"/>
      <c r="G18" s="6"/>
      <c r="H18" s="6"/>
      <c r="I18" s="6"/>
      <c r="J18" s="6"/>
      <c r="K18" s="6"/>
      <c r="L18" s="6"/>
    </row>
    <row r="19" spans="1:14" ht="30" customHeight="1" x14ac:dyDescent="0.25">
      <c r="A19" s="99" t="s">
        <v>307</v>
      </c>
      <c r="B19" s="1039">
        <f>(G17+H17+I17)*J17*K17*1000</f>
        <v>3862955.2050412749</v>
      </c>
      <c r="C19" s="1040"/>
      <c r="D19" s="1040"/>
      <c r="E19" s="1040"/>
      <c r="F19" s="6"/>
      <c r="G19" s="61" t="s">
        <v>121</v>
      </c>
      <c r="H19" s="61" t="s">
        <v>117</v>
      </c>
      <c r="I19" s="6"/>
      <c r="J19" s="6"/>
      <c r="K19" s="6"/>
      <c r="L19" s="6"/>
    </row>
    <row r="20" spans="1:14" ht="30" customHeight="1" x14ac:dyDescent="0.25">
      <c r="A20" s="96" t="s">
        <v>306</v>
      </c>
      <c r="B20" s="1041">
        <f>L17*H25</f>
        <v>0</v>
      </c>
      <c r="C20" s="1042"/>
      <c r="D20" s="1042"/>
      <c r="E20" s="1042"/>
      <c r="F20" s="6"/>
      <c r="G20" s="61">
        <v>0.14000000000000001</v>
      </c>
      <c r="H20" s="61">
        <v>0.7</v>
      </c>
      <c r="I20" s="6"/>
      <c r="J20" s="6"/>
      <c r="K20" s="6"/>
      <c r="L20" s="6"/>
    </row>
    <row r="21" spans="1:14" ht="30" customHeight="1" x14ac:dyDescent="0.25">
      <c r="A21" s="98" t="s">
        <v>8</v>
      </c>
      <c r="B21" s="1000">
        <f>B19/2*G20+B19/2/10*H20</f>
        <v>405610.29652933386</v>
      </c>
      <c r="C21" s="1000"/>
      <c r="D21" s="1000"/>
      <c r="E21" s="1000"/>
      <c r="F21" s="6"/>
      <c r="I21" s="6"/>
      <c r="J21" s="6"/>
      <c r="K21" s="6"/>
      <c r="L21" s="6"/>
    </row>
    <row r="22" spans="1:14" ht="30" customHeight="1" x14ac:dyDescent="0.25">
      <c r="A22" s="98" t="s">
        <v>9</v>
      </c>
      <c r="B22" s="1000"/>
      <c r="C22" s="1000"/>
      <c r="D22" s="1000"/>
      <c r="E22" s="1000"/>
      <c r="F22" s="6"/>
      <c r="G22" s="6"/>
      <c r="H22" s="6"/>
      <c r="I22" s="6"/>
      <c r="J22" s="6"/>
      <c r="K22" s="6"/>
      <c r="L22" s="6"/>
    </row>
    <row r="23" spans="1:14" ht="30" customHeight="1" x14ac:dyDescent="0.25">
      <c r="A23" s="98" t="s">
        <v>301</v>
      </c>
      <c r="B23" s="1016">
        <f>B17/(B21+B22)</f>
        <v>4.930841295483137E-2</v>
      </c>
      <c r="C23" s="1016"/>
      <c r="D23" s="1016"/>
      <c r="E23" s="1016"/>
      <c r="F23" s="6"/>
      <c r="G23" s="6"/>
      <c r="H23" s="6"/>
      <c r="I23" s="6"/>
      <c r="J23" s="6"/>
      <c r="K23" s="6"/>
      <c r="L23" s="6"/>
    </row>
    <row r="24" spans="1:14" ht="30" customHeight="1" x14ac:dyDescent="0.25">
      <c r="A24" s="98" t="s">
        <v>302</v>
      </c>
      <c r="B24" s="1017">
        <f>(B17-B18)/(B21+B22)</f>
        <v>4.930841295483137E-2</v>
      </c>
      <c r="C24" s="1017"/>
      <c r="D24" s="1017"/>
      <c r="E24" s="1017"/>
      <c r="F24" s="6"/>
      <c r="G24" s="6"/>
      <c r="H24" s="6"/>
      <c r="I24" s="6"/>
      <c r="J24" s="6"/>
      <c r="K24" s="6"/>
      <c r="L24" s="6"/>
    </row>
    <row r="25" spans="1:14" ht="30" customHeight="1" x14ac:dyDescent="0.25">
      <c r="A25" s="100" t="s">
        <v>305</v>
      </c>
      <c r="B25" s="1070">
        <f>G17*J17*K17*L17+H17*J17*K17*M17+I17*J17*K17*N17</f>
        <v>963.75583230597977</v>
      </c>
      <c r="C25" s="1070"/>
      <c r="D25" s="1070"/>
      <c r="E25" s="1070"/>
      <c r="F25" s="6"/>
      <c r="G25" s="6"/>
      <c r="H25" s="6"/>
      <c r="I25" s="6"/>
      <c r="J25" s="6"/>
      <c r="K25" s="6"/>
      <c r="L25" s="6"/>
    </row>
    <row r="26" spans="1:14" ht="30" customHeight="1" x14ac:dyDescent="0.25">
      <c r="A26" s="101" t="s">
        <v>303</v>
      </c>
      <c r="B26" s="1058">
        <f>B25/'Objectifs CO2'!C7</f>
        <v>0.88900317827058739</v>
      </c>
      <c r="C26" s="1058"/>
      <c r="D26" s="1058"/>
      <c r="E26" s="1058"/>
    </row>
    <row r="27" spans="1:14" ht="30" customHeight="1" x14ac:dyDescent="0.25">
      <c r="A27" s="101" t="s">
        <v>304</v>
      </c>
      <c r="B27" s="1056">
        <f>B25/'Objectifs CO2'!C4</f>
        <v>4.4450158913529367E-2</v>
      </c>
      <c r="C27" s="1057"/>
      <c r="D27" s="1057"/>
      <c r="E27" s="1057"/>
    </row>
    <row r="28" spans="1:14" ht="30" customHeight="1" x14ac:dyDescent="0.25">
      <c r="A28" s="101" t="s">
        <v>22</v>
      </c>
      <c r="B28" s="1010"/>
      <c r="C28" s="1010"/>
      <c r="D28" s="1010"/>
      <c r="E28" s="1010"/>
    </row>
    <row r="29" spans="1:14" ht="30" customHeight="1" x14ac:dyDescent="0.25">
      <c r="A29" s="101" t="s">
        <v>257</v>
      </c>
      <c r="B29" s="1011" t="s">
        <v>282</v>
      </c>
      <c r="C29" s="1011"/>
      <c r="D29" s="1011"/>
      <c r="E29" s="1011"/>
      <c r="F29" s="6" t="s">
        <v>264</v>
      </c>
    </row>
    <row r="31" spans="1:14" x14ac:dyDescent="0.25">
      <c r="A31" s="603" t="s">
        <v>1065</v>
      </c>
      <c r="B31" s="1003" t="s">
        <v>675</v>
      </c>
      <c r="C31" s="1003"/>
      <c r="D31" s="1003"/>
      <c r="E31" s="56" t="s">
        <v>676</v>
      </c>
      <c r="F31" s="6"/>
      <c r="G31" s="6"/>
      <c r="H31" s="6"/>
      <c r="I31" s="6"/>
    </row>
    <row r="32" spans="1:14"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35:D35"/>
    <mergeCell ref="H35:I35"/>
    <mergeCell ref="B36:D36"/>
    <mergeCell ref="B42:D42"/>
    <mergeCell ref="B44:D44"/>
    <mergeCell ref="B37:D37"/>
    <mergeCell ref="G59:L59"/>
    <mergeCell ref="B60:F60"/>
    <mergeCell ref="G60:L60"/>
    <mergeCell ref="G46:L46"/>
    <mergeCell ref="B38:D38"/>
    <mergeCell ref="B39:D39"/>
    <mergeCell ref="B40:D40"/>
    <mergeCell ref="B41:D41"/>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Z16:AA16"/>
    <mergeCell ref="Z11:AA11"/>
    <mergeCell ref="Z12:AA12"/>
    <mergeCell ref="Z13:AA13"/>
    <mergeCell ref="Z14:AA14"/>
    <mergeCell ref="Z15:AA15"/>
    <mergeCell ref="B10:E10"/>
    <mergeCell ref="B19:E19"/>
    <mergeCell ref="B20:E20"/>
    <mergeCell ref="B18:E18"/>
    <mergeCell ref="B24:E24"/>
    <mergeCell ref="B25:E25"/>
    <mergeCell ref="B23:E23"/>
    <mergeCell ref="B26:E26"/>
    <mergeCell ref="B21:E21"/>
    <mergeCell ref="B22:E22"/>
    <mergeCell ref="B29:E29"/>
    <mergeCell ref="B28:E28"/>
    <mergeCell ref="B16:E16"/>
    <mergeCell ref="B11:E11"/>
    <mergeCell ref="B12:E12"/>
    <mergeCell ref="B13:E13"/>
    <mergeCell ref="B14:E14"/>
    <mergeCell ref="B15:E15"/>
    <mergeCell ref="B27:E27"/>
    <mergeCell ref="B17:E17"/>
    <mergeCell ref="B33:D33"/>
    <mergeCell ref="H33:I33"/>
    <mergeCell ref="G40:I40"/>
    <mergeCell ref="B34:D34"/>
    <mergeCell ref="H34:I34"/>
    <mergeCell ref="B8:E8"/>
    <mergeCell ref="B9:E9"/>
    <mergeCell ref="A1:E1"/>
    <mergeCell ref="B2:E2"/>
    <mergeCell ref="G2:H2"/>
    <mergeCell ref="B3:E3"/>
    <mergeCell ref="G3:H3"/>
    <mergeCell ref="B4:E4"/>
    <mergeCell ref="B5:E5"/>
    <mergeCell ref="B6:E6"/>
    <mergeCell ref="B7:E7"/>
    <mergeCell ref="G6:H6"/>
    <mergeCell ref="G4:H4"/>
    <mergeCell ref="G5:H5"/>
    <mergeCell ref="G7:H7"/>
    <mergeCell ref="B31:D31"/>
    <mergeCell ref="B32:D32"/>
    <mergeCell ref="G32:I32"/>
    <mergeCell ref="G8:G10"/>
  </mergeCells>
  <conditionalFormatting sqref="B5">
    <cfRule type="containsText" dxfId="215" priority="1" operator="containsText" text="Terminé">
      <formula>NOT(ISERROR(SEARCH("Terminé",B5)))</formula>
    </cfRule>
    <cfRule type="containsText" dxfId="214" priority="2" operator="containsText" text="En cours">
      <formula>NOT(ISERROR(SEARCH("En cours",B5)))</formula>
    </cfRule>
    <cfRule type="containsText" dxfId="21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3" workbookViewId="0">
      <selection activeCell="B8" sqref="B8:E8"/>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99</v>
      </c>
      <c r="C2" s="1068"/>
      <c r="D2" s="1068"/>
      <c r="E2" s="1068"/>
      <c r="F2" s="7"/>
      <c r="G2" s="986" t="s">
        <v>751</v>
      </c>
      <c r="H2" s="986"/>
    </row>
    <row r="3" spans="1:28" ht="19.5" customHeight="1" x14ac:dyDescent="0.25">
      <c r="A3" s="409" t="s">
        <v>743</v>
      </c>
      <c r="B3" s="987" t="s">
        <v>457</v>
      </c>
      <c r="C3" s="987"/>
      <c r="D3" s="987"/>
      <c r="E3" s="987"/>
      <c r="F3" s="7"/>
      <c r="G3" s="986" t="s">
        <v>752</v>
      </c>
      <c r="H3" s="986"/>
    </row>
    <row r="4" spans="1:28" ht="19.5" customHeight="1" x14ac:dyDescent="0.25">
      <c r="A4" s="403" t="s">
        <v>292</v>
      </c>
      <c r="B4" s="996" t="s">
        <v>38</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188" t="s">
        <v>1</v>
      </c>
      <c r="B8" s="967" t="s">
        <v>1000</v>
      </c>
      <c r="C8" s="967"/>
      <c r="D8" s="967"/>
      <c r="E8" s="967"/>
      <c r="G8" s="997" t="s">
        <v>936</v>
      </c>
      <c r="Z8" s="1028" t="s">
        <v>611</v>
      </c>
      <c r="AA8" s="1029"/>
      <c r="AB8" s="357">
        <v>0.26819999999999999</v>
      </c>
    </row>
    <row r="9" spans="1:28" ht="24" customHeight="1" x14ac:dyDescent="0.25">
      <c r="A9" s="188" t="s">
        <v>0</v>
      </c>
      <c r="B9" s="967" t="s">
        <v>472</v>
      </c>
      <c r="C9" s="967"/>
      <c r="D9" s="967"/>
      <c r="E9" s="967"/>
      <c r="G9" s="997"/>
      <c r="Z9" s="1028" t="s">
        <v>612</v>
      </c>
      <c r="AA9" s="1029"/>
      <c r="AB9" s="357">
        <v>3.1300000000000001E-2</v>
      </c>
    </row>
    <row r="10" spans="1:28" ht="15.75" x14ac:dyDescent="0.25">
      <c r="A10" s="188" t="s">
        <v>2</v>
      </c>
      <c r="B10" s="1034" t="s">
        <v>473</v>
      </c>
      <c r="C10" s="1035"/>
      <c r="D10" s="1035"/>
      <c r="E10" s="1035"/>
      <c r="G10" s="997"/>
      <c r="H10" s="7"/>
      <c r="Z10" s="1028"/>
      <c r="AA10" s="1029"/>
      <c r="AB10" s="357"/>
    </row>
    <row r="11" spans="1:28" ht="15.75" x14ac:dyDescent="0.25">
      <c r="A11" s="188" t="s">
        <v>29</v>
      </c>
      <c r="B11" s="1034"/>
      <c r="C11" s="1035"/>
      <c r="D11" s="1035"/>
      <c r="E11" s="1035"/>
      <c r="G11" s="254"/>
      <c r="H11" s="131"/>
      <c r="Z11" s="1028" t="s">
        <v>613</v>
      </c>
      <c r="AA11" s="1029"/>
      <c r="AB11" s="357">
        <v>0.26819999999999999</v>
      </c>
    </row>
    <row r="12" spans="1:28" ht="30" customHeight="1" x14ac:dyDescent="0.25">
      <c r="A12" s="188" t="s">
        <v>14</v>
      </c>
      <c r="B12" s="1010" t="s">
        <v>38</v>
      </c>
      <c r="C12" s="1010"/>
      <c r="D12" s="1010"/>
      <c r="E12" s="1010"/>
      <c r="G12" s="254"/>
      <c r="H12" s="131"/>
      <c r="Z12" s="1028" t="s">
        <v>614</v>
      </c>
      <c r="AA12" s="1029"/>
      <c r="AB12" s="357">
        <v>1.18E-2</v>
      </c>
    </row>
    <row r="13" spans="1:28" ht="30" customHeight="1" x14ac:dyDescent="0.25">
      <c r="A13" s="188" t="s">
        <v>3</v>
      </c>
      <c r="B13" s="1010"/>
      <c r="C13" s="1010"/>
      <c r="D13" s="1010"/>
      <c r="E13" s="1010"/>
      <c r="G13" s="256">
        <f>'Objectifs CO2'!X33</f>
        <v>13130.832628818718</v>
      </c>
      <c r="H13" s="256">
        <f>'Objectifs CO2'!X50</f>
        <v>0</v>
      </c>
      <c r="I13" s="256">
        <f>'Objectifs CO2'!X68</f>
        <v>0</v>
      </c>
      <c r="J13" s="256">
        <f>'Objectifs CO2'!X86</f>
        <v>0</v>
      </c>
      <c r="K13" s="256">
        <f>'Objectifs CO2'!X104</f>
        <v>0</v>
      </c>
      <c r="L13" s="256">
        <f>'Objectifs CO2'!X122</f>
        <v>0</v>
      </c>
      <c r="M13" s="265" t="s">
        <v>564</v>
      </c>
      <c r="Z13" s="1028" t="s">
        <v>615</v>
      </c>
      <c r="AA13" s="1029"/>
      <c r="AB13" s="358">
        <f>AB15/0.55</f>
        <v>0.50363636363636366</v>
      </c>
    </row>
    <row r="14" spans="1:28" ht="30" customHeight="1" x14ac:dyDescent="0.25">
      <c r="A14" s="188" t="s">
        <v>15</v>
      </c>
      <c r="B14" s="1010"/>
      <c r="C14" s="1010"/>
      <c r="D14" s="1010"/>
      <c r="E14" s="1010"/>
      <c r="G14" s="256">
        <f>'Objectifs CO2'!Z33</f>
        <v>3942.1063691325139</v>
      </c>
      <c r="H14" s="256">
        <f>'Objectifs CO2'!Z50</f>
        <v>0</v>
      </c>
      <c r="I14" s="256">
        <f>'Objectifs CO2'!Z68</f>
        <v>0</v>
      </c>
      <c r="J14" s="256">
        <f>'Objectifs CO2'!Z87</f>
        <v>0</v>
      </c>
      <c r="K14" s="256">
        <f>'Objectifs CO2'!Z105</f>
        <v>0</v>
      </c>
      <c r="L14" s="256">
        <f>'Objectifs CO2'!Z123</f>
        <v>0</v>
      </c>
      <c r="M14" s="265" t="s">
        <v>565</v>
      </c>
      <c r="Z14" s="1028" t="s">
        <v>616</v>
      </c>
      <c r="AA14" s="1029"/>
      <c r="AB14" s="357">
        <v>0.26819999999999999</v>
      </c>
    </row>
    <row r="15" spans="1:28" ht="30" customHeight="1" x14ac:dyDescent="0.25">
      <c r="A15" s="188" t="s">
        <v>4</v>
      </c>
      <c r="B15" s="1010">
        <v>2015</v>
      </c>
      <c r="C15" s="1010"/>
      <c r="D15" s="1010"/>
      <c r="E15" s="1010"/>
      <c r="G15" s="256">
        <f>'Objectifs CO2'!Y33</f>
        <v>8061.8068625933392</v>
      </c>
      <c r="H15" s="256">
        <f>'Objectifs CO2'!Z49</f>
        <v>0</v>
      </c>
      <c r="I15" s="256">
        <f>'Objectifs CO2'!Z67</f>
        <v>0</v>
      </c>
      <c r="J15" s="256">
        <f>'Objectifs CO2'!Z85</f>
        <v>0</v>
      </c>
      <c r="K15" s="256">
        <f>'Objectifs CO2'!Z104</f>
        <v>0</v>
      </c>
      <c r="L15" s="256">
        <f>'Objectifs CO2'!Z122</f>
        <v>0</v>
      </c>
      <c r="M15" s="605" t="s">
        <v>1109</v>
      </c>
      <c r="Z15" s="1028" t="s">
        <v>578</v>
      </c>
      <c r="AA15" s="1029"/>
      <c r="AB15" s="357">
        <v>0.27700000000000002</v>
      </c>
    </row>
    <row r="16" spans="1:28" ht="30" customHeight="1" x14ac:dyDescent="0.25">
      <c r="A16" s="188" t="s">
        <v>5</v>
      </c>
      <c r="B16" s="1010">
        <v>2030</v>
      </c>
      <c r="C16" s="1010"/>
      <c r="D16" s="1010"/>
      <c r="E16" s="1010"/>
      <c r="G16" s="60" t="s">
        <v>203</v>
      </c>
      <c r="H16" s="617" t="s">
        <v>1110</v>
      </c>
      <c r="I16" s="60" t="s">
        <v>204</v>
      </c>
      <c r="J16" s="59" t="s">
        <v>205</v>
      </c>
      <c r="K16" s="59" t="s">
        <v>206</v>
      </c>
      <c r="L16" s="60" t="s">
        <v>119</v>
      </c>
      <c r="M16" s="617" t="s">
        <v>462</v>
      </c>
      <c r="N16" s="60" t="s">
        <v>118</v>
      </c>
      <c r="Z16" s="1028" t="s">
        <v>579</v>
      </c>
      <c r="AA16" s="1029"/>
      <c r="AB16" s="357">
        <v>0.20269999999999999</v>
      </c>
    </row>
    <row r="17" spans="1:14" ht="30" customHeight="1" x14ac:dyDescent="0.25">
      <c r="A17" s="188" t="s">
        <v>6</v>
      </c>
      <c r="B17" s="1012">
        <v>20000</v>
      </c>
      <c r="C17" s="1012"/>
      <c r="D17" s="1012"/>
      <c r="E17" s="1012"/>
      <c r="G17" s="275">
        <f>SUM(G13:L13)</f>
        <v>13130.832628818718</v>
      </c>
      <c r="H17" s="618">
        <f>SUM(E15,G15)</f>
        <v>8061.8068625933392</v>
      </c>
      <c r="I17" s="275">
        <f>SUM(G14:L14)</f>
        <v>3942.1063691325139</v>
      </c>
      <c r="J17" s="59">
        <v>0.2</v>
      </c>
      <c r="K17" s="59">
        <v>0.25</v>
      </c>
      <c r="L17" s="359">
        <f>AB15</f>
        <v>0.27700000000000002</v>
      </c>
      <c r="M17" s="617">
        <f>AB16</f>
        <v>0.20269999999999999</v>
      </c>
      <c r="N17" s="60">
        <f>AB8</f>
        <v>0.26819999999999999</v>
      </c>
    </row>
    <row r="18" spans="1:14" ht="30" customHeight="1" x14ac:dyDescent="0.25">
      <c r="A18" s="188" t="s">
        <v>7</v>
      </c>
      <c r="B18" s="1012">
        <v>0</v>
      </c>
      <c r="C18" s="1012"/>
      <c r="D18" s="1012"/>
      <c r="E18" s="1012"/>
    </row>
    <row r="19" spans="1:14" ht="30" customHeight="1" x14ac:dyDescent="0.25">
      <c r="A19" s="99" t="s">
        <v>307</v>
      </c>
      <c r="B19" s="1039">
        <f>(G17+H17+I17)*J17*K17*1000</f>
        <v>1256737.2930272287</v>
      </c>
      <c r="C19" s="1040"/>
      <c r="D19" s="1040"/>
      <c r="E19" s="1040"/>
      <c r="G19" s="187" t="s">
        <v>121</v>
      </c>
      <c r="H19" s="187" t="s">
        <v>117</v>
      </c>
    </row>
    <row r="20" spans="1:14" ht="30" customHeight="1" x14ac:dyDescent="0.25">
      <c r="A20" s="96" t="s">
        <v>306</v>
      </c>
      <c r="B20" s="1041">
        <f>L17*H25</f>
        <v>0</v>
      </c>
      <c r="C20" s="1042"/>
      <c r="D20" s="1042"/>
      <c r="E20" s="1042"/>
      <c r="G20" s="187">
        <v>0.14000000000000001</v>
      </c>
      <c r="H20" s="187">
        <v>0.7</v>
      </c>
    </row>
    <row r="21" spans="1:14" ht="30" customHeight="1" x14ac:dyDescent="0.25">
      <c r="A21" s="188" t="s">
        <v>8</v>
      </c>
      <c r="B21" s="1000">
        <f>B19/2*G20+B19/2/10*H20</f>
        <v>131957.41576785903</v>
      </c>
      <c r="C21" s="1000"/>
      <c r="D21" s="1000"/>
      <c r="E21" s="1000"/>
    </row>
    <row r="22" spans="1:14" ht="30" customHeight="1" x14ac:dyDescent="0.25">
      <c r="A22" s="188" t="s">
        <v>9</v>
      </c>
      <c r="B22" s="1000"/>
      <c r="C22" s="1000"/>
      <c r="D22" s="1000"/>
      <c r="E22" s="1000"/>
    </row>
    <row r="23" spans="1:14" ht="30" customHeight="1" x14ac:dyDescent="0.25">
      <c r="A23" s="188" t="s">
        <v>301</v>
      </c>
      <c r="B23" s="1016">
        <f>B17/(B21+B22)</f>
        <v>0.15156404726191536</v>
      </c>
      <c r="C23" s="1016"/>
      <c r="D23" s="1016"/>
      <c r="E23" s="1016"/>
    </row>
    <row r="24" spans="1:14" ht="30" customHeight="1" x14ac:dyDescent="0.25">
      <c r="A24" s="188" t="s">
        <v>302</v>
      </c>
      <c r="B24" s="1017">
        <f>(B17-B18)/(B21+B22)</f>
        <v>0.15156404726191536</v>
      </c>
      <c r="C24" s="1017"/>
      <c r="D24" s="1017"/>
      <c r="E24" s="1017"/>
    </row>
    <row r="25" spans="1:14" ht="30" customHeight="1" x14ac:dyDescent="0.25">
      <c r="A25" s="100" t="s">
        <v>305</v>
      </c>
      <c r="B25" s="1070">
        <f>G17*J17*K17*L17+H17*J17*K17*M17+I17*J17*K17*N17</f>
        <v>316.43209087158976</v>
      </c>
      <c r="C25" s="1070"/>
      <c r="D25" s="1070"/>
      <c r="E25" s="1070"/>
    </row>
    <row r="26" spans="1:14" ht="30" customHeight="1" x14ac:dyDescent="0.25">
      <c r="A26" s="101" t="s">
        <v>303</v>
      </c>
      <c r="B26" s="1058">
        <f>B25/'Objectifs CO2'!C7</f>
        <v>0.29188838610559886</v>
      </c>
      <c r="C26" s="1058"/>
      <c r="D26" s="1058"/>
      <c r="E26" s="1058"/>
    </row>
    <row r="27" spans="1:14" ht="30" customHeight="1" x14ac:dyDescent="0.25">
      <c r="A27" s="101" t="s">
        <v>304</v>
      </c>
      <c r="B27" s="1056">
        <f>B25/'Objectifs CO2'!C4</f>
        <v>1.4594419305279943E-2</v>
      </c>
      <c r="C27" s="1057"/>
      <c r="D27" s="1057"/>
      <c r="E27" s="1057"/>
    </row>
    <row r="28" spans="1:14" ht="30" customHeight="1" x14ac:dyDescent="0.25">
      <c r="A28" s="101" t="s">
        <v>22</v>
      </c>
      <c r="B28" s="1010"/>
      <c r="C28" s="1010"/>
      <c r="D28" s="1010"/>
      <c r="E28" s="1010"/>
    </row>
    <row r="29" spans="1:14" ht="30" customHeight="1" x14ac:dyDescent="0.25">
      <c r="A29" s="101" t="s">
        <v>257</v>
      </c>
      <c r="B29" s="1011" t="s">
        <v>282</v>
      </c>
      <c r="C29" s="1011"/>
      <c r="D29" s="1011"/>
      <c r="E29" s="1011"/>
      <c r="F29" s="6" t="s">
        <v>264</v>
      </c>
    </row>
    <row r="31" spans="1:14" x14ac:dyDescent="0.25">
      <c r="A31" s="603" t="s">
        <v>1065</v>
      </c>
      <c r="B31" s="1003" t="s">
        <v>675</v>
      </c>
      <c r="C31" s="1003"/>
      <c r="D31" s="1003"/>
      <c r="E31" s="56" t="s">
        <v>676</v>
      </c>
    </row>
    <row r="32" spans="1:14"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9:E9"/>
    <mergeCell ref="B10:E10"/>
    <mergeCell ref="B11:E11"/>
    <mergeCell ref="B12:E12"/>
    <mergeCell ref="B18:E18"/>
    <mergeCell ref="B19:E19"/>
    <mergeCell ref="B8:E8"/>
    <mergeCell ref="G8:G10"/>
    <mergeCell ref="B13:E13"/>
    <mergeCell ref="B14:E14"/>
    <mergeCell ref="Z5:AB5"/>
    <mergeCell ref="Z6:AA6"/>
    <mergeCell ref="Z8:AA8"/>
    <mergeCell ref="Z9:AA9"/>
    <mergeCell ref="Z10:AA10"/>
    <mergeCell ref="Z16:AA16"/>
    <mergeCell ref="Z11:AA11"/>
    <mergeCell ref="Z12:AA12"/>
    <mergeCell ref="Z13:AA13"/>
    <mergeCell ref="Z14:AA14"/>
    <mergeCell ref="Z15:AA15"/>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1:D31"/>
    <mergeCell ref="B32:D32"/>
    <mergeCell ref="B29:E29"/>
    <mergeCell ref="B21:E21"/>
    <mergeCell ref="B22:E22"/>
    <mergeCell ref="B23:E23"/>
    <mergeCell ref="B24:E24"/>
    <mergeCell ref="B25:E25"/>
    <mergeCell ref="B26:E26"/>
    <mergeCell ref="B17:E17"/>
    <mergeCell ref="B15:E15"/>
    <mergeCell ref="B16:E16"/>
    <mergeCell ref="B27:E27"/>
    <mergeCell ref="B28:E28"/>
    <mergeCell ref="B20:E20"/>
    <mergeCell ref="G2:H2"/>
    <mergeCell ref="B3:E3"/>
    <mergeCell ref="G3:H3"/>
    <mergeCell ref="B4:E4"/>
    <mergeCell ref="B5:E5"/>
    <mergeCell ref="B6:E6"/>
    <mergeCell ref="B7:E7"/>
    <mergeCell ref="G7:H7"/>
    <mergeCell ref="G4:H4"/>
    <mergeCell ref="G5:H5"/>
    <mergeCell ref="G6:H6"/>
  </mergeCells>
  <conditionalFormatting sqref="B5">
    <cfRule type="containsText" dxfId="212" priority="1" operator="containsText" text="Terminé">
      <formula>NOT(ISERROR(SEARCH("Terminé",B5)))</formula>
    </cfRule>
    <cfRule type="containsText" dxfId="211" priority="2" operator="containsText" text="En cours">
      <formula>NOT(ISERROR(SEARCH("En cours",B5)))</formula>
    </cfRule>
    <cfRule type="containsText" dxfId="21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69"/>
  <sheetViews>
    <sheetView topLeftCell="A14" workbookViewId="0">
      <selection activeCell="B8" sqref="B8:E8"/>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33" ht="26.25" x14ac:dyDescent="0.4">
      <c r="A1" s="1001" t="s">
        <v>937</v>
      </c>
      <c r="B1" s="1001"/>
      <c r="C1" s="1001"/>
      <c r="D1" s="1001"/>
      <c r="E1" s="1001"/>
      <c r="F1" s="276"/>
      <c r="G1" s="7"/>
      <c r="H1" s="7"/>
    </row>
    <row r="2" spans="1:33" ht="19.5" customHeight="1" x14ac:dyDescent="0.25">
      <c r="A2" s="415" t="s">
        <v>750</v>
      </c>
      <c r="B2" s="1068" t="s">
        <v>101</v>
      </c>
      <c r="C2" s="1068"/>
      <c r="D2" s="1068"/>
      <c r="E2" s="1068"/>
      <c r="F2" s="7"/>
      <c r="G2" s="986" t="s">
        <v>751</v>
      </c>
      <c r="H2" s="986"/>
    </row>
    <row r="3" spans="1:33" ht="19.5" customHeight="1" x14ac:dyDescent="0.25">
      <c r="A3" s="483" t="s">
        <v>743</v>
      </c>
      <c r="B3" s="987" t="s">
        <v>457</v>
      </c>
      <c r="C3" s="987"/>
      <c r="D3" s="987"/>
      <c r="E3" s="987"/>
      <c r="F3" s="7"/>
      <c r="G3" s="986" t="s">
        <v>752</v>
      </c>
      <c r="H3" s="986"/>
    </row>
    <row r="4" spans="1:33" ht="19.5" customHeight="1" x14ac:dyDescent="0.25">
      <c r="A4" s="482" t="s">
        <v>292</v>
      </c>
      <c r="B4" s="996" t="s">
        <v>31</v>
      </c>
      <c r="C4" s="996"/>
      <c r="D4" s="996"/>
      <c r="E4" s="996"/>
      <c r="F4" s="7"/>
      <c r="G4" s="986" t="s">
        <v>753</v>
      </c>
      <c r="H4" s="986"/>
    </row>
    <row r="5" spans="1:33" ht="19.5" customHeight="1" x14ac:dyDescent="0.25">
      <c r="A5" s="482" t="s">
        <v>16</v>
      </c>
      <c r="B5" s="1015" t="s">
        <v>17</v>
      </c>
      <c r="C5" s="1015"/>
      <c r="D5" s="1015"/>
      <c r="E5" s="1015"/>
      <c r="F5" s="7"/>
      <c r="G5" s="986" t="s">
        <v>754</v>
      </c>
      <c r="H5" s="986"/>
      <c r="K5" s="9"/>
      <c r="L5" s="9"/>
      <c r="M5" s="9"/>
      <c r="N5" s="9"/>
      <c r="Z5" s="1023" t="s">
        <v>609</v>
      </c>
      <c r="AA5" s="1024"/>
      <c r="AB5" s="1025"/>
    </row>
    <row r="6" spans="1:33" ht="19.5" customHeight="1" x14ac:dyDescent="0.25">
      <c r="A6" s="413" t="s">
        <v>474</v>
      </c>
      <c r="B6" s="993" t="s">
        <v>424</v>
      </c>
      <c r="C6" s="993"/>
      <c r="D6" s="993"/>
      <c r="E6" s="993"/>
      <c r="F6" s="7"/>
      <c r="G6" s="986" t="s">
        <v>755</v>
      </c>
      <c r="H6" s="986"/>
      <c r="K6" s="9"/>
      <c r="L6" s="9"/>
      <c r="M6" s="9"/>
      <c r="N6" s="9"/>
      <c r="Z6" s="1026"/>
      <c r="AA6" s="1027"/>
      <c r="AB6" s="357" t="s">
        <v>610</v>
      </c>
    </row>
    <row r="7" spans="1:33" ht="19.5" customHeight="1" x14ac:dyDescent="0.25">
      <c r="A7" s="253" t="s">
        <v>475</v>
      </c>
      <c r="B7" s="994" t="s">
        <v>426</v>
      </c>
      <c r="C7" s="994"/>
      <c r="D7" s="994"/>
      <c r="E7" s="994"/>
      <c r="F7" s="7"/>
      <c r="G7" s="995" t="s">
        <v>756</v>
      </c>
      <c r="H7" s="995"/>
      <c r="I7" s="487"/>
      <c r="J7" s="487"/>
      <c r="K7" s="9"/>
      <c r="L7" s="9"/>
      <c r="M7" s="9"/>
      <c r="N7" s="9"/>
      <c r="Z7" s="484"/>
      <c r="AA7" s="485"/>
      <c r="AB7" s="357"/>
    </row>
    <row r="8" spans="1:33" ht="24" customHeight="1" x14ac:dyDescent="0.25">
      <c r="A8" s="491" t="s">
        <v>1</v>
      </c>
      <c r="B8" s="996" t="s">
        <v>1002</v>
      </c>
      <c r="C8" s="996"/>
      <c r="D8" s="996"/>
      <c r="E8" s="996"/>
      <c r="F8" s="9"/>
      <c r="G8" s="997" t="s">
        <v>936</v>
      </c>
      <c r="H8" s="67"/>
      <c r="I8" s="9"/>
      <c r="J8" s="9"/>
      <c r="K8" s="9"/>
      <c r="L8" s="9"/>
      <c r="N8" s="9"/>
      <c r="O8" s="9"/>
      <c r="Z8" s="1028" t="s">
        <v>611</v>
      </c>
      <c r="AA8" s="1029"/>
      <c r="AB8" s="357">
        <v>0.26819999999999999</v>
      </c>
    </row>
    <row r="9" spans="1:33" ht="24" customHeight="1" x14ac:dyDescent="0.25">
      <c r="A9" s="491" t="s">
        <v>0</v>
      </c>
      <c r="B9" s="996" t="s">
        <v>892</v>
      </c>
      <c r="C9" s="996"/>
      <c r="D9" s="996"/>
      <c r="E9" s="996"/>
      <c r="F9" s="9"/>
      <c r="G9" s="997"/>
      <c r="H9" s="67"/>
      <c r="I9" s="9"/>
      <c r="J9" s="9"/>
      <c r="K9" s="9"/>
      <c r="L9" s="9"/>
      <c r="N9" s="9"/>
      <c r="O9" s="9"/>
      <c r="Z9" s="1028" t="s">
        <v>612</v>
      </c>
      <c r="AA9" s="1029"/>
      <c r="AB9" s="357">
        <v>3.1300000000000001E-2</v>
      </c>
    </row>
    <row r="10" spans="1:33" ht="53.25" customHeight="1" x14ac:dyDescent="0.25">
      <c r="A10" s="102" t="s">
        <v>2</v>
      </c>
      <c r="B10" s="1008" t="s">
        <v>1058</v>
      </c>
      <c r="C10" s="1008"/>
      <c r="D10" s="1008"/>
      <c r="E10" s="1008"/>
      <c r="F10" s="9"/>
      <c r="G10" s="997"/>
      <c r="H10" s="67"/>
      <c r="I10" s="9"/>
      <c r="J10" s="9"/>
      <c r="K10" s="9"/>
      <c r="L10" s="9"/>
      <c r="M10" s="7"/>
      <c r="Z10" s="1028"/>
      <c r="AA10" s="1029"/>
      <c r="AB10" s="357"/>
      <c r="AC10" s="60" t="s">
        <v>147</v>
      </c>
      <c r="AD10" s="60" t="s">
        <v>148</v>
      </c>
      <c r="AE10" s="59" t="s">
        <v>149</v>
      </c>
      <c r="AF10" s="59" t="s">
        <v>152</v>
      </c>
    </row>
    <row r="11" spans="1:33" ht="15.75" customHeight="1" x14ac:dyDescent="0.25">
      <c r="A11" s="102" t="s">
        <v>29</v>
      </c>
      <c r="B11" s="1008" t="s">
        <v>1111</v>
      </c>
      <c r="C11" s="1008"/>
      <c r="D11" s="1008"/>
      <c r="E11" s="1008"/>
      <c r="F11" s="9"/>
      <c r="G11" s="254">
        <v>150</v>
      </c>
      <c r="H11" s="131" t="s">
        <v>146</v>
      </c>
      <c r="I11" s="9"/>
      <c r="J11" s="9"/>
      <c r="K11" s="9"/>
      <c r="L11" s="9"/>
      <c r="Z11" s="1028" t="s">
        <v>613</v>
      </c>
      <c r="AA11" s="1029"/>
      <c r="AB11" s="357">
        <v>0.26819999999999999</v>
      </c>
      <c r="AC11" s="490">
        <v>50</v>
      </c>
      <c r="AD11" s="490">
        <v>110</v>
      </c>
      <c r="AE11" s="489">
        <v>0.86</v>
      </c>
      <c r="AF11" s="489">
        <v>0.28000000000000003</v>
      </c>
    </row>
    <row r="12" spans="1:33" ht="30" customHeight="1" x14ac:dyDescent="0.25">
      <c r="A12" s="102" t="s">
        <v>14</v>
      </c>
      <c r="B12" s="1010" t="s">
        <v>607</v>
      </c>
      <c r="C12" s="1010"/>
      <c r="D12" s="1010"/>
      <c r="E12" s="1010"/>
      <c r="G12" s="9"/>
      <c r="H12" s="67"/>
      <c r="I12" s="9"/>
      <c r="J12" s="9"/>
      <c r="K12" s="9"/>
      <c r="L12" s="9"/>
      <c r="M12" s="9"/>
      <c r="Z12" s="1028" t="s">
        <v>614</v>
      </c>
      <c r="AA12" s="1029"/>
      <c r="AB12" s="357">
        <v>1.18E-2</v>
      </c>
      <c r="AC12" s="9"/>
      <c r="AD12" s="9"/>
      <c r="AE12" s="9"/>
      <c r="AF12" s="9"/>
      <c r="AG12" s="9"/>
    </row>
    <row r="13" spans="1:33" ht="30" customHeight="1" x14ac:dyDescent="0.25">
      <c r="A13" s="102" t="s">
        <v>3</v>
      </c>
      <c r="B13" s="1010"/>
      <c r="C13" s="1010"/>
      <c r="D13" s="1010"/>
      <c r="E13" s="1010"/>
      <c r="G13" s="255" t="s">
        <v>151</v>
      </c>
      <c r="H13" s="488" t="s">
        <v>255</v>
      </c>
      <c r="I13" s="488" t="s">
        <v>256</v>
      </c>
      <c r="J13" s="257" t="s">
        <v>535</v>
      </c>
      <c r="K13" s="488" t="s">
        <v>254</v>
      </c>
      <c r="L13" s="1078"/>
      <c r="M13" s="9"/>
      <c r="Z13" s="1028" t="s">
        <v>615</v>
      </c>
      <c r="AA13" s="1029"/>
      <c r="AB13" s="358">
        <f>AB15/0.55</f>
        <v>0.50363636363636366</v>
      </c>
      <c r="AC13" s="9"/>
      <c r="AD13" s="9"/>
      <c r="AE13" s="9"/>
      <c r="AF13" s="9"/>
      <c r="AG13" s="9"/>
    </row>
    <row r="14" spans="1:33" ht="30" customHeight="1" x14ac:dyDescent="0.25">
      <c r="A14" s="102" t="s">
        <v>15</v>
      </c>
      <c r="B14" s="1010"/>
      <c r="C14" s="1010"/>
      <c r="D14" s="1010"/>
      <c r="E14" s="1010"/>
      <c r="G14" s="480">
        <v>3398</v>
      </c>
      <c r="H14" s="256">
        <f>'Objectifs CO2'!Z32</f>
        <v>46882.329252344512</v>
      </c>
      <c r="I14" s="256">
        <f>'Objectifs CO2'!AA32</f>
        <v>4047.431355855701</v>
      </c>
      <c r="J14" s="259">
        <f>(H14+I14)/G14*1000</f>
        <v>14988.157918834671</v>
      </c>
      <c r="K14" s="259">
        <f>J14*$I$17</f>
        <v>7494.0789594173357</v>
      </c>
      <c r="L14" s="1078"/>
      <c r="M14" s="9"/>
      <c r="N14" s="9"/>
      <c r="Z14" s="1028" t="s">
        <v>616</v>
      </c>
      <c r="AA14" s="1029"/>
      <c r="AB14" s="357">
        <v>0.26819999999999999</v>
      </c>
      <c r="AC14" s="9"/>
      <c r="AD14" s="9"/>
      <c r="AE14" s="9"/>
      <c r="AF14" s="9"/>
      <c r="AG14" s="9"/>
    </row>
    <row r="15" spans="1:33" ht="30" customHeight="1" x14ac:dyDescent="0.25">
      <c r="A15" s="102" t="s">
        <v>4</v>
      </c>
      <c r="B15" s="1010">
        <v>2021</v>
      </c>
      <c r="C15" s="1010"/>
      <c r="D15" s="1010"/>
      <c r="E15" s="1010"/>
      <c r="N15" s="9"/>
      <c r="Z15" s="1028" t="s">
        <v>578</v>
      </c>
      <c r="AA15" s="1029"/>
      <c r="AB15" s="357">
        <v>0.27700000000000002</v>
      </c>
      <c r="AC15" s="60" t="s">
        <v>150</v>
      </c>
      <c r="AD15" s="60" t="s">
        <v>130</v>
      </c>
      <c r="AE15" s="60" t="s">
        <v>151</v>
      </c>
      <c r="AF15" s="60" t="s">
        <v>255</v>
      </c>
      <c r="AG15" s="60" t="s">
        <v>256</v>
      </c>
    </row>
    <row r="16" spans="1:33" ht="30" customHeight="1" x14ac:dyDescent="0.25">
      <c r="A16" s="102" t="s">
        <v>5</v>
      </c>
      <c r="B16" s="1010">
        <v>2023</v>
      </c>
      <c r="C16" s="1010"/>
      <c r="D16" s="1010"/>
      <c r="E16" s="1010"/>
      <c r="H16" s="255" t="s">
        <v>149</v>
      </c>
      <c r="I16" s="255" t="s">
        <v>152</v>
      </c>
      <c r="J16" s="488" t="s">
        <v>150</v>
      </c>
      <c r="K16" s="488" t="s">
        <v>534</v>
      </c>
      <c r="N16" s="9"/>
      <c r="Z16" s="1028" t="s">
        <v>579</v>
      </c>
      <c r="AA16" s="1029"/>
      <c r="AB16" s="357">
        <v>0.20269999999999999</v>
      </c>
      <c r="AC16" s="490">
        <v>0.26100000000000001</v>
      </c>
      <c r="AD16" s="88">
        <f>AD22</f>
        <v>0.24629789278623188</v>
      </c>
      <c r="AE16" s="490">
        <v>2665</v>
      </c>
      <c r="AF16" s="208">
        <f>'Objectifs CO2'!Z32</f>
        <v>46882.329252344512</v>
      </c>
      <c r="AG16" s="209">
        <f>'Objectifs CO2'!AA32</f>
        <v>4047.431355855701</v>
      </c>
    </row>
    <row r="17" spans="1:33" ht="30" customHeight="1" x14ac:dyDescent="0.25">
      <c r="A17" s="102" t="s">
        <v>6</v>
      </c>
      <c r="B17" s="1012">
        <f>SUM(G11:L11)*H19*I19</f>
        <v>825000</v>
      </c>
      <c r="C17" s="1012"/>
      <c r="D17" s="1012"/>
      <c r="E17" s="1012"/>
      <c r="G17" s="9"/>
      <c r="H17" s="480">
        <v>0.7</v>
      </c>
      <c r="I17" s="480">
        <v>0.5</v>
      </c>
      <c r="J17" s="486">
        <f>AB8</f>
        <v>0.26819999999999999</v>
      </c>
      <c r="K17" s="488">
        <f>AB9</f>
        <v>3.1300000000000001E-2</v>
      </c>
      <c r="L17" s="9"/>
      <c r="M17" s="9"/>
      <c r="N17" s="9"/>
      <c r="AA17" s="66" t="s">
        <v>155</v>
      </c>
      <c r="AB17" s="66">
        <v>0</v>
      </c>
      <c r="AE17" s="9"/>
      <c r="AF17" s="9"/>
      <c r="AG17" s="9"/>
    </row>
    <row r="18" spans="1:33" ht="30" customHeight="1" x14ac:dyDescent="0.25">
      <c r="A18" s="102" t="s">
        <v>7</v>
      </c>
      <c r="B18" s="1012">
        <f>B17*K19</f>
        <v>66000</v>
      </c>
      <c r="C18" s="1012"/>
      <c r="D18" s="1012"/>
      <c r="E18" s="1012"/>
      <c r="G18" s="9"/>
      <c r="H18" s="255" t="s">
        <v>147</v>
      </c>
      <c r="I18" s="255" t="s">
        <v>148</v>
      </c>
      <c r="J18" s="488" t="s">
        <v>130</v>
      </c>
      <c r="K18" s="486" t="s">
        <v>536</v>
      </c>
      <c r="L18" s="9"/>
      <c r="M18" s="9"/>
      <c r="AA18" s="66" t="s">
        <v>252</v>
      </c>
      <c r="AB18" s="66">
        <v>0</v>
      </c>
      <c r="AE18" s="9"/>
      <c r="AF18" s="9"/>
      <c r="AG18" s="9"/>
    </row>
    <row r="19" spans="1:33" ht="30" customHeight="1" x14ac:dyDescent="0.25">
      <c r="A19" s="99" t="s">
        <v>307</v>
      </c>
      <c r="B19" s="1039">
        <f>G11*K14</f>
        <v>1124111.8439126003</v>
      </c>
      <c r="C19" s="1040"/>
      <c r="D19" s="1040"/>
      <c r="E19" s="1040"/>
      <c r="G19" s="9"/>
      <c r="H19" s="480">
        <v>50</v>
      </c>
      <c r="I19" s="480">
        <v>110</v>
      </c>
      <c r="J19" s="258">
        <f>I23</f>
        <v>0.24937335568139635</v>
      </c>
      <c r="K19" s="486">
        <v>0.08</v>
      </c>
      <c r="L19" s="9"/>
      <c r="M19" s="9"/>
      <c r="AA19" s="9"/>
      <c r="AB19" s="10"/>
      <c r="AC19" s="9"/>
      <c r="AD19" s="9"/>
      <c r="AE19" s="9"/>
      <c r="AF19" s="9"/>
      <c r="AG19" s="9"/>
    </row>
    <row r="20" spans="1:33" ht="30" customHeight="1" x14ac:dyDescent="0.25">
      <c r="A20" s="96" t="s">
        <v>306</v>
      </c>
      <c r="B20" s="1041"/>
      <c r="C20" s="1042"/>
      <c r="D20" s="1042"/>
      <c r="E20" s="1042"/>
      <c r="G20" s="9"/>
      <c r="H20" s="9"/>
      <c r="I20" s="9"/>
      <c r="J20" s="9"/>
      <c r="K20" s="9"/>
      <c r="L20" s="9"/>
      <c r="M20" s="9"/>
      <c r="AA20" s="9"/>
      <c r="AB20" s="10"/>
      <c r="AC20" s="89">
        <f>AF16</f>
        <v>46882.329252344512</v>
      </c>
      <c r="AD20" s="89">
        <v>0.26100000000000001</v>
      </c>
      <c r="AE20" s="89"/>
      <c r="AF20" s="9"/>
      <c r="AG20" s="9"/>
    </row>
    <row r="21" spans="1:33" ht="30" customHeight="1" x14ac:dyDescent="0.25">
      <c r="A21" s="102" t="s">
        <v>8</v>
      </c>
      <c r="B21" s="1000">
        <f>(B19*AE11/10)</f>
        <v>96673.618576483626</v>
      </c>
      <c r="C21" s="1000"/>
      <c r="D21" s="1000"/>
      <c r="E21" s="1000"/>
      <c r="G21" s="9"/>
      <c r="H21" s="261">
        <f>H14</f>
        <v>46882.329252344512</v>
      </c>
      <c r="I21" s="89">
        <f>J17</f>
        <v>0.26819999999999999</v>
      </c>
      <c r="J21" s="89"/>
      <c r="K21" s="1022"/>
      <c r="L21" s="9"/>
      <c r="M21" s="9"/>
      <c r="N21" s="9"/>
      <c r="AA21" s="9"/>
      <c r="AB21" s="9"/>
      <c r="AC21" s="89">
        <f>AG16</f>
        <v>4047.431355855701</v>
      </c>
      <c r="AD21" s="89">
        <v>7.5999999999999998E-2</v>
      </c>
      <c r="AE21" s="89"/>
      <c r="AF21" s="9"/>
      <c r="AG21" s="9"/>
    </row>
    <row r="22" spans="1:33" ht="30" customHeight="1" x14ac:dyDescent="0.25">
      <c r="A22" s="102" t="s">
        <v>9</v>
      </c>
      <c r="B22" s="1000"/>
      <c r="C22" s="1000"/>
      <c r="D22" s="1000"/>
      <c r="E22" s="1000"/>
      <c r="G22" s="9"/>
      <c r="H22" s="261">
        <f>I14</f>
        <v>4047.431355855701</v>
      </c>
      <c r="I22" s="89">
        <f>K17</f>
        <v>3.1300000000000001E-2</v>
      </c>
      <c r="J22" s="89"/>
      <c r="K22" s="1022"/>
      <c r="L22" s="9"/>
      <c r="M22" s="9"/>
      <c r="N22" s="9"/>
      <c r="AA22" s="9"/>
      <c r="AB22" s="9"/>
      <c r="AC22" s="89">
        <f>AC20+AC21</f>
        <v>50929.760608200217</v>
      </c>
      <c r="AD22" s="90">
        <f>AE22/AC22</f>
        <v>0.24629789278623188</v>
      </c>
      <c r="AE22" s="89">
        <f>(AC20*AD20)+(AC21*AD21)</f>
        <v>12543.892717906952</v>
      </c>
      <c r="AF22" s="9"/>
      <c r="AG22" s="9"/>
    </row>
    <row r="23" spans="1:33" ht="30" customHeight="1" x14ac:dyDescent="0.25">
      <c r="A23" s="102" t="s">
        <v>301</v>
      </c>
      <c r="B23" s="1016">
        <f>B17/(B21+B22)</f>
        <v>8.5338690342629384</v>
      </c>
      <c r="C23" s="1016"/>
      <c r="D23" s="1016"/>
      <c r="E23" s="1016"/>
      <c r="G23" s="9"/>
      <c r="H23" s="263">
        <f>H21+H22</f>
        <v>50929.760608200217</v>
      </c>
      <c r="I23" s="90">
        <f>J23/H23</f>
        <v>0.24937335568139635</v>
      </c>
      <c r="J23" s="89">
        <f>(H21*I21)+(H22*I22)</f>
        <v>12700.525306917081</v>
      </c>
      <c r="K23" s="1022"/>
      <c r="L23" s="9"/>
      <c r="M23" s="9"/>
      <c r="N23" s="9"/>
    </row>
    <row r="24" spans="1:33" ht="30" customHeight="1" x14ac:dyDescent="0.25">
      <c r="A24" s="102" t="s">
        <v>302</v>
      </c>
      <c r="B24" s="1017">
        <f>(B17-B18)/(B21+B22)</f>
        <v>7.8511595115219031</v>
      </c>
      <c r="C24" s="1017"/>
      <c r="D24" s="1017"/>
      <c r="E24" s="1017"/>
      <c r="G24" s="9"/>
      <c r="H24" s="9"/>
      <c r="I24" s="9"/>
      <c r="J24" s="9"/>
      <c r="K24" s="9"/>
      <c r="L24" s="9"/>
      <c r="M24" s="9"/>
      <c r="N24" s="9"/>
    </row>
    <row r="25" spans="1:33" ht="30" customHeight="1" x14ac:dyDescent="0.25">
      <c r="A25" s="103" t="s">
        <v>305</v>
      </c>
      <c r="B25" s="1036">
        <f>B19*J19/1000</f>
        <v>280.32354267768721</v>
      </c>
      <c r="C25" s="1036"/>
      <c r="D25" s="1036"/>
      <c r="E25" s="1036"/>
      <c r="G25" s="9"/>
      <c r="H25" s="9"/>
      <c r="I25" s="9"/>
      <c r="J25" s="9"/>
      <c r="K25" s="9"/>
      <c r="L25" s="9"/>
      <c r="M25" s="9"/>
      <c r="N25" s="9"/>
    </row>
    <row r="26" spans="1:33" ht="30" customHeight="1" x14ac:dyDescent="0.25">
      <c r="A26" s="104" t="s">
        <v>303</v>
      </c>
      <c r="B26" s="1058">
        <f>B25/'Objectifs CO2'!C8</f>
        <v>2.5858055747196157E-2</v>
      </c>
      <c r="C26" s="1058"/>
      <c r="D26" s="1058"/>
      <c r="E26" s="1058"/>
      <c r="G26" s="9"/>
      <c r="H26" s="9"/>
      <c r="I26" s="9"/>
      <c r="J26" s="9"/>
      <c r="K26" s="9"/>
      <c r="L26" s="9"/>
      <c r="M26" s="9"/>
      <c r="N26" s="9"/>
    </row>
    <row r="27" spans="1:33" ht="30" customHeight="1" x14ac:dyDescent="0.25">
      <c r="A27" s="104" t="s">
        <v>304</v>
      </c>
      <c r="B27" s="1056">
        <f>B25/'Objectifs CO2'!C4</f>
        <v>1.2929027873598078E-2</v>
      </c>
      <c r="C27" s="1057"/>
      <c r="D27" s="1057"/>
      <c r="E27" s="1057"/>
      <c r="G27" s="9"/>
      <c r="H27" s="9"/>
      <c r="I27" s="9"/>
      <c r="J27" s="9"/>
      <c r="K27" s="9"/>
      <c r="L27" s="9"/>
      <c r="M27" s="9"/>
      <c r="N27" s="9"/>
    </row>
    <row r="28" spans="1:33" ht="30" customHeight="1" x14ac:dyDescent="0.25">
      <c r="A28" s="104" t="s">
        <v>22</v>
      </c>
      <c r="B28" s="999"/>
      <c r="C28" s="999"/>
      <c r="D28" s="999"/>
      <c r="E28" s="999"/>
      <c r="G28" s="9"/>
      <c r="H28" s="9"/>
      <c r="I28" s="9"/>
      <c r="J28" s="9"/>
      <c r="K28" s="9"/>
      <c r="L28" s="9"/>
      <c r="M28" s="9"/>
      <c r="N28" s="9"/>
    </row>
    <row r="29" spans="1:33" ht="30" customHeight="1" x14ac:dyDescent="0.25">
      <c r="A29" s="101" t="s">
        <v>257</v>
      </c>
      <c r="B29" s="999" t="s">
        <v>265</v>
      </c>
      <c r="C29" s="999"/>
      <c r="D29" s="999"/>
      <c r="E29" s="999"/>
      <c r="F29" s="6" t="s">
        <v>264</v>
      </c>
    </row>
    <row r="31" spans="1:33" x14ac:dyDescent="0.25">
      <c r="A31" s="603" t="s">
        <v>1065</v>
      </c>
      <c r="B31" s="1003" t="s">
        <v>675</v>
      </c>
      <c r="C31" s="1003"/>
      <c r="D31" s="1003"/>
      <c r="E31" s="479" t="s">
        <v>676</v>
      </c>
    </row>
    <row r="32" spans="1:33"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7">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0:D40"/>
    <mergeCell ref="G40:I40"/>
    <mergeCell ref="B41:D41"/>
    <mergeCell ref="B42:D42"/>
    <mergeCell ref="B44:D44"/>
    <mergeCell ref="B39:D39"/>
    <mergeCell ref="B32:D32"/>
    <mergeCell ref="G32:I32"/>
    <mergeCell ref="B33:D33"/>
    <mergeCell ref="H33:I33"/>
    <mergeCell ref="B34:D34"/>
    <mergeCell ref="H34:I34"/>
    <mergeCell ref="B35:D35"/>
    <mergeCell ref="H35:I35"/>
    <mergeCell ref="B36:D36"/>
    <mergeCell ref="B37:D37"/>
    <mergeCell ref="B38:D38"/>
    <mergeCell ref="B17:E17"/>
    <mergeCell ref="B31:D31"/>
    <mergeCell ref="B19:E19"/>
    <mergeCell ref="B20:E20"/>
    <mergeCell ref="B21:E21"/>
    <mergeCell ref="B22:E22"/>
    <mergeCell ref="B23:E23"/>
    <mergeCell ref="B24:E24"/>
    <mergeCell ref="B25:E25"/>
    <mergeCell ref="B26:E26"/>
    <mergeCell ref="B27:E27"/>
    <mergeCell ref="B28:E28"/>
    <mergeCell ref="B29:E29"/>
    <mergeCell ref="B7:E7"/>
    <mergeCell ref="G7:H7"/>
    <mergeCell ref="B8:E8"/>
    <mergeCell ref="G8:G10"/>
    <mergeCell ref="Z8:AA8"/>
    <mergeCell ref="B9:E9"/>
    <mergeCell ref="Z9:AA9"/>
    <mergeCell ref="B10:E10"/>
    <mergeCell ref="K21:K23"/>
    <mergeCell ref="Z10:AA10"/>
    <mergeCell ref="B18:E18"/>
    <mergeCell ref="B11:E11"/>
    <mergeCell ref="Z11:AA11"/>
    <mergeCell ref="B12:E12"/>
    <mergeCell ref="Z12:AA12"/>
    <mergeCell ref="B13:E13"/>
    <mergeCell ref="L13:L14"/>
    <mergeCell ref="Z13:AA13"/>
    <mergeCell ref="B14:E14"/>
    <mergeCell ref="Z14:AA14"/>
    <mergeCell ref="B15:E15"/>
    <mergeCell ref="Z15:AA15"/>
    <mergeCell ref="B16:E16"/>
    <mergeCell ref="Z16:AA16"/>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209" priority="1" operator="containsText" text="Terminé">
      <formula>NOT(ISERROR(SEARCH("Terminé",B5)))</formula>
    </cfRule>
    <cfRule type="containsText" dxfId="208" priority="2" operator="containsText" text="En cours">
      <formula>NOT(ISERROR(SEARCH("En cours",B5)))</formula>
    </cfRule>
    <cfRule type="containsText" dxfId="20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workbookViewId="0">
      <selection activeCell="B8" sqref="B8:E8"/>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190</v>
      </c>
      <c r="C2" s="1068"/>
      <c r="D2" s="1068"/>
      <c r="E2" s="1068"/>
      <c r="F2" s="7"/>
      <c r="G2" s="986" t="s">
        <v>751</v>
      </c>
      <c r="H2" s="986"/>
    </row>
    <row r="3" spans="1:28" ht="19.5" customHeight="1" x14ac:dyDescent="0.25">
      <c r="A3" s="579" t="s">
        <v>743</v>
      </c>
      <c r="B3" s="987" t="s">
        <v>457</v>
      </c>
      <c r="C3" s="987"/>
      <c r="D3" s="987"/>
      <c r="E3" s="987"/>
      <c r="F3" s="7"/>
      <c r="G3" s="986" t="s">
        <v>752</v>
      </c>
      <c r="H3" s="986"/>
    </row>
    <row r="4" spans="1:28" ht="19.5" customHeight="1" x14ac:dyDescent="0.25">
      <c r="A4" s="580" t="s">
        <v>292</v>
      </c>
      <c r="B4" s="996" t="s">
        <v>54</v>
      </c>
      <c r="C4" s="996"/>
      <c r="D4" s="996"/>
      <c r="E4" s="996"/>
      <c r="F4" s="7"/>
      <c r="G4" s="986" t="s">
        <v>753</v>
      </c>
      <c r="H4" s="986"/>
    </row>
    <row r="5" spans="1:28" ht="19.5" customHeight="1" x14ac:dyDescent="0.25">
      <c r="A5" s="580"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584"/>
      <c r="J7" s="584"/>
      <c r="Z7" s="581"/>
      <c r="AA7" s="582"/>
      <c r="AB7" s="357"/>
    </row>
    <row r="8" spans="1:28" ht="24" customHeight="1" x14ac:dyDescent="0.25">
      <c r="A8" s="589" t="s">
        <v>1</v>
      </c>
      <c r="B8" s="967" t="s">
        <v>201</v>
      </c>
      <c r="C8" s="967"/>
      <c r="D8" s="967"/>
      <c r="E8" s="967"/>
      <c r="G8" s="997" t="s">
        <v>936</v>
      </c>
      <c r="Z8" s="1028" t="s">
        <v>611</v>
      </c>
      <c r="AA8" s="1029"/>
      <c r="AB8" s="357">
        <v>0.26819999999999999</v>
      </c>
    </row>
    <row r="9" spans="1:28" ht="24" customHeight="1" x14ac:dyDescent="0.25">
      <c r="A9" s="589" t="s">
        <v>0</v>
      </c>
      <c r="B9" s="967" t="s">
        <v>581</v>
      </c>
      <c r="C9" s="967"/>
      <c r="D9" s="967"/>
      <c r="E9" s="967"/>
      <c r="G9" s="997"/>
      <c r="Z9" s="1028" t="s">
        <v>612</v>
      </c>
      <c r="AA9" s="1029"/>
      <c r="AB9" s="357">
        <v>3.1300000000000001E-2</v>
      </c>
    </row>
    <row r="10" spans="1:28" ht="40.5" customHeight="1" x14ac:dyDescent="0.25">
      <c r="A10" s="589" t="s">
        <v>2</v>
      </c>
      <c r="B10" s="1034" t="s">
        <v>1024</v>
      </c>
      <c r="C10" s="1035"/>
      <c r="D10" s="1035"/>
      <c r="E10" s="1035"/>
      <c r="G10" s="997"/>
      <c r="H10" s="7"/>
      <c r="Z10" s="1028"/>
      <c r="AA10" s="1029"/>
      <c r="AB10" s="357"/>
    </row>
    <row r="11" spans="1:28" ht="15.75" x14ac:dyDescent="0.25">
      <c r="A11" s="589" t="s">
        <v>29</v>
      </c>
      <c r="B11" s="1034"/>
      <c r="C11" s="1035"/>
      <c r="D11" s="1035"/>
      <c r="E11" s="1035"/>
      <c r="G11" s="254"/>
      <c r="H11" s="131"/>
      <c r="Z11" s="1028" t="s">
        <v>613</v>
      </c>
      <c r="AA11" s="1029"/>
      <c r="AB11" s="357">
        <v>0.26819999999999999</v>
      </c>
    </row>
    <row r="12" spans="1:28" ht="30" customHeight="1" x14ac:dyDescent="0.25">
      <c r="A12" s="589" t="s">
        <v>14</v>
      </c>
      <c r="B12" s="1010" t="s">
        <v>54</v>
      </c>
      <c r="C12" s="1010"/>
      <c r="D12" s="1010"/>
      <c r="E12" s="1010"/>
      <c r="G12" s="254"/>
      <c r="H12" s="131"/>
      <c r="Z12" s="1028" t="s">
        <v>614</v>
      </c>
      <c r="AA12" s="1029"/>
      <c r="AB12" s="357">
        <v>1.18E-2</v>
      </c>
    </row>
    <row r="13" spans="1:28" ht="30" customHeight="1" x14ac:dyDescent="0.25">
      <c r="A13" s="589" t="s">
        <v>3</v>
      </c>
      <c r="B13" s="1010" t="s">
        <v>1023</v>
      </c>
      <c r="C13" s="1010"/>
      <c r="D13" s="1010"/>
      <c r="E13" s="1010"/>
      <c r="G13" s="256"/>
      <c r="H13" s="256">
        <f>'Objectifs CO2'!X48</f>
        <v>0</v>
      </c>
      <c r="I13" s="256">
        <f>'Objectifs CO2'!X66</f>
        <v>0</v>
      </c>
      <c r="J13" s="256">
        <f>'Objectifs CO2'!X84</f>
        <v>0</v>
      </c>
      <c r="K13" s="256">
        <f>'Objectifs CO2'!X102</f>
        <v>0</v>
      </c>
      <c r="L13" s="256">
        <f>'Objectifs CO2'!X120</f>
        <v>0</v>
      </c>
      <c r="M13" s="585" t="s">
        <v>564</v>
      </c>
      <c r="Z13" s="1028" t="s">
        <v>615</v>
      </c>
      <c r="AA13" s="1029"/>
      <c r="AB13" s="358">
        <f>AB15/0.55</f>
        <v>0.50363636363636366</v>
      </c>
    </row>
    <row r="14" spans="1:28" ht="30" customHeight="1" x14ac:dyDescent="0.25">
      <c r="A14" s="589" t="s">
        <v>15</v>
      </c>
      <c r="B14" s="1010"/>
      <c r="C14" s="1010"/>
      <c r="D14" s="1010"/>
      <c r="E14" s="1010"/>
      <c r="G14" s="256"/>
      <c r="H14" s="256">
        <f>'Objectifs CO2'!Z48</f>
        <v>0</v>
      </c>
      <c r="I14" s="256">
        <f>'Objectifs CO2'!Z66</f>
        <v>0</v>
      </c>
      <c r="J14" s="256">
        <f>'Objectifs CO2'!Z84</f>
        <v>0</v>
      </c>
      <c r="K14" s="256">
        <f>'Objectifs CO2'!Z103</f>
        <v>0</v>
      </c>
      <c r="L14" s="256">
        <f>'Objectifs CO2'!Z121</f>
        <v>0</v>
      </c>
      <c r="M14" s="585" t="s">
        <v>565</v>
      </c>
      <c r="Z14" s="1028" t="s">
        <v>616</v>
      </c>
      <c r="AA14" s="1029"/>
      <c r="AB14" s="357">
        <v>0.26819999999999999</v>
      </c>
    </row>
    <row r="15" spans="1:28" ht="30" customHeight="1" x14ac:dyDescent="0.25">
      <c r="A15" s="589" t="s">
        <v>4</v>
      </c>
      <c r="B15" s="1010">
        <v>2015</v>
      </c>
      <c r="C15" s="1010"/>
      <c r="D15" s="1010"/>
      <c r="E15" s="1010"/>
      <c r="Z15" s="1028" t="s">
        <v>578</v>
      </c>
      <c r="AA15" s="1029"/>
      <c r="AB15" s="357">
        <v>0.27700000000000002</v>
      </c>
    </row>
    <row r="16" spans="1:28" ht="30" customHeight="1" x14ac:dyDescent="0.25">
      <c r="A16" s="589" t="s">
        <v>5</v>
      </c>
      <c r="B16" s="1010">
        <v>2019</v>
      </c>
      <c r="C16" s="1010"/>
      <c r="D16" s="1010"/>
      <c r="E16" s="1010"/>
      <c r="G16" s="60" t="s">
        <v>203</v>
      </c>
      <c r="H16" s="60" t="s">
        <v>204</v>
      </c>
      <c r="I16" s="59" t="s">
        <v>205</v>
      </c>
      <c r="J16" s="59" t="s">
        <v>206</v>
      </c>
      <c r="K16" s="60" t="s">
        <v>118</v>
      </c>
      <c r="L16" s="60" t="s">
        <v>119</v>
      </c>
      <c r="Z16" s="1028" t="s">
        <v>579</v>
      </c>
      <c r="AA16" s="1029"/>
      <c r="AB16" s="357">
        <v>0.20269999999999999</v>
      </c>
    </row>
    <row r="17" spans="1:12" ht="30" customHeight="1" x14ac:dyDescent="0.25">
      <c r="A17" s="589" t="s">
        <v>6</v>
      </c>
      <c r="B17" s="1012">
        <v>20000</v>
      </c>
      <c r="C17" s="1012"/>
      <c r="D17" s="1012"/>
      <c r="E17" s="1012"/>
      <c r="G17" s="275">
        <f>SUM(G13:L13)</f>
        <v>0</v>
      </c>
      <c r="H17" s="275">
        <f>SUM(G14:L14)</f>
        <v>0</v>
      </c>
      <c r="I17" s="59">
        <v>0.25</v>
      </c>
      <c r="J17" s="59">
        <v>0.25</v>
      </c>
      <c r="K17" s="60">
        <f>AB8</f>
        <v>0.26819999999999999</v>
      </c>
      <c r="L17" s="359">
        <f>AB15</f>
        <v>0.27700000000000002</v>
      </c>
    </row>
    <row r="18" spans="1:12" ht="30" customHeight="1" x14ac:dyDescent="0.25">
      <c r="A18" s="589" t="s">
        <v>7</v>
      </c>
      <c r="B18" s="1012">
        <v>0</v>
      </c>
      <c r="C18" s="1012"/>
      <c r="D18" s="1012"/>
      <c r="E18" s="1012"/>
    </row>
    <row r="19" spans="1:12" ht="30" customHeight="1" x14ac:dyDescent="0.25">
      <c r="A19" s="99" t="s">
        <v>307</v>
      </c>
      <c r="B19" s="1039">
        <f>(G17+H17)*I17*J17*1000</f>
        <v>0</v>
      </c>
      <c r="C19" s="1040"/>
      <c r="D19" s="1040"/>
      <c r="E19" s="1040"/>
      <c r="G19" s="586" t="s">
        <v>121</v>
      </c>
      <c r="H19" s="586" t="s">
        <v>117</v>
      </c>
    </row>
    <row r="20" spans="1:12" ht="30" customHeight="1" x14ac:dyDescent="0.25">
      <c r="A20" s="96" t="s">
        <v>306</v>
      </c>
      <c r="B20" s="1041">
        <f>L17*H25</f>
        <v>0</v>
      </c>
      <c r="C20" s="1042"/>
      <c r="D20" s="1042"/>
      <c r="E20" s="1042"/>
      <c r="G20" s="586">
        <v>0.14000000000000001</v>
      </c>
      <c r="H20" s="586">
        <v>0.7</v>
      </c>
    </row>
    <row r="21" spans="1:12" ht="30" customHeight="1" x14ac:dyDescent="0.25">
      <c r="A21" s="589" t="s">
        <v>8</v>
      </c>
      <c r="B21" s="1000">
        <f>B19/2*G20+B19/2/10*H20</f>
        <v>0</v>
      </c>
      <c r="C21" s="1000"/>
      <c r="D21" s="1000"/>
      <c r="E21" s="1000"/>
    </row>
    <row r="22" spans="1:12" ht="30" customHeight="1" x14ac:dyDescent="0.25">
      <c r="A22" s="589" t="s">
        <v>9</v>
      </c>
      <c r="B22" s="1000"/>
      <c r="C22" s="1000"/>
      <c r="D22" s="1000"/>
      <c r="E22" s="1000"/>
    </row>
    <row r="23" spans="1:12" ht="30" customHeight="1" x14ac:dyDescent="0.25">
      <c r="A23" s="589" t="s">
        <v>301</v>
      </c>
      <c r="B23" s="1016" t="e">
        <f>B17/(B21+B22)</f>
        <v>#DIV/0!</v>
      </c>
      <c r="C23" s="1016"/>
      <c r="D23" s="1016"/>
      <c r="E23" s="1016"/>
    </row>
    <row r="24" spans="1:12" ht="30" customHeight="1" x14ac:dyDescent="0.25">
      <c r="A24" s="589" t="s">
        <v>302</v>
      </c>
      <c r="B24" s="1017" t="e">
        <f>(B17-B18)/(B21+B22)</f>
        <v>#DIV/0!</v>
      </c>
      <c r="C24" s="1017"/>
      <c r="D24" s="1017"/>
      <c r="E24" s="1017"/>
    </row>
    <row r="25" spans="1:12" ht="30" customHeight="1" x14ac:dyDescent="0.25">
      <c r="A25" s="100" t="s">
        <v>305</v>
      </c>
      <c r="B25" s="1070">
        <f>G17*I17*J17*L17+H17*I17*J17*K17</f>
        <v>0</v>
      </c>
      <c r="C25" s="1070"/>
      <c r="D25" s="1070"/>
      <c r="E25" s="1070"/>
    </row>
    <row r="26" spans="1:12" ht="30" customHeight="1" x14ac:dyDescent="0.25">
      <c r="A26" s="101" t="s">
        <v>303</v>
      </c>
      <c r="B26" s="1058">
        <f>B25/'Objectifs CO2'!C7</f>
        <v>0</v>
      </c>
      <c r="C26" s="1058"/>
      <c r="D26" s="1058"/>
      <c r="E26" s="1058"/>
    </row>
    <row r="27" spans="1:12" ht="30" customHeight="1" x14ac:dyDescent="0.25">
      <c r="A27" s="101" t="s">
        <v>304</v>
      </c>
      <c r="B27" s="1056">
        <f>B25/'Objectifs CO2'!C4</f>
        <v>0</v>
      </c>
      <c r="C27" s="1057"/>
      <c r="D27" s="1057"/>
      <c r="E27" s="1057"/>
    </row>
    <row r="28" spans="1:12" ht="30" customHeight="1" x14ac:dyDescent="0.25">
      <c r="A28" s="101" t="s">
        <v>22</v>
      </c>
      <c r="B28" s="1010"/>
      <c r="C28" s="1010"/>
      <c r="D28" s="1010"/>
      <c r="E28" s="1010"/>
    </row>
    <row r="29" spans="1:12" ht="30" customHeight="1" x14ac:dyDescent="0.25">
      <c r="A29" s="101" t="s">
        <v>257</v>
      </c>
      <c r="B29" s="1011" t="s">
        <v>282</v>
      </c>
      <c r="C29" s="1011"/>
      <c r="D29" s="1011"/>
      <c r="E29" s="1011"/>
      <c r="F29" s="6" t="s">
        <v>264</v>
      </c>
    </row>
    <row r="31" spans="1:12" x14ac:dyDescent="0.25">
      <c r="A31" s="603" t="s">
        <v>1065</v>
      </c>
      <c r="B31" s="1003" t="s">
        <v>675</v>
      </c>
      <c r="C31" s="1003"/>
      <c r="D31" s="1003"/>
      <c r="E31" s="575" t="s">
        <v>676</v>
      </c>
    </row>
    <row r="32" spans="1:12"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77"/>
      <c r="E43" s="94" t="s">
        <v>730</v>
      </c>
    </row>
    <row r="44" spans="1:12" x14ac:dyDescent="0.25">
      <c r="A44" s="57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B44:D44"/>
    <mergeCell ref="G46:L46"/>
    <mergeCell ref="A47:A51"/>
    <mergeCell ref="B47:F47"/>
    <mergeCell ref="G47:L47"/>
    <mergeCell ref="B48:F48"/>
    <mergeCell ref="G48:L48"/>
    <mergeCell ref="B49:F49"/>
    <mergeCell ref="G49:L49"/>
    <mergeCell ref="B50:F50"/>
    <mergeCell ref="G50:L50"/>
    <mergeCell ref="B51:F51"/>
    <mergeCell ref="G51:L51"/>
    <mergeCell ref="B38:D38"/>
    <mergeCell ref="B39:D39"/>
    <mergeCell ref="B40:D40"/>
    <mergeCell ref="G40:I40"/>
    <mergeCell ref="B41:D41"/>
    <mergeCell ref="B42:D42"/>
    <mergeCell ref="B34:D34"/>
    <mergeCell ref="H34:I34"/>
    <mergeCell ref="B35:D35"/>
    <mergeCell ref="H35:I35"/>
    <mergeCell ref="B36:D36"/>
    <mergeCell ref="B37:D37"/>
    <mergeCell ref="B29:E29"/>
    <mergeCell ref="B31:D31"/>
    <mergeCell ref="B32:D32"/>
    <mergeCell ref="G32:I32"/>
    <mergeCell ref="B33:D33"/>
    <mergeCell ref="H33:I33"/>
    <mergeCell ref="B23:E23"/>
    <mergeCell ref="B24:E24"/>
    <mergeCell ref="B25:E25"/>
    <mergeCell ref="B26:E26"/>
    <mergeCell ref="B27:E27"/>
    <mergeCell ref="B28:E28"/>
    <mergeCell ref="B17:E17"/>
    <mergeCell ref="B18:E18"/>
    <mergeCell ref="B19:E19"/>
    <mergeCell ref="B20:E20"/>
    <mergeCell ref="B21:E21"/>
    <mergeCell ref="B22:E22"/>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206" priority="1" operator="containsText" text="Terminé">
      <formula>NOT(ISERROR(SEARCH("Terminé",B5)))</formula>
    </cfRule>
    <cfRule type="containsText" dxfId="205" priority="2" operator="containsText" text="En cours">
      <formula>NOT(ISERROR(SEARCH("En cours",B5)))</formula>
    </cfRule>
    <cfRule type="containsText" dxfId="20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topLeftCell="B1" workbookViewId="0">
      <selection activeCell="G3" sqref="G3:H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191</v>
      </c>
      <c r="C2" s="1068"/>
      <c r="D2" s="1068"/>
      <c r="E2" s="1068"/>
      <c r="F2" s="7"/>
      <c r="G2" s="986" t="s">
        <v>751</v>
      </c>
      <c r="H2" s="986"/>
    </row>
    <row r="3" spans="1:28" ht="19.5" customHeight="1" x14ac:dyDescent="0.25">
      <c r="A3" s="579" t="s">
        <v>743</v>
      </c>
      <c r="B3" s="987" t="s">
        <v>457</v>
      </c>
      <c r="C3" s="987"/>
      <c r="D3" s="987"/>
      <c r="E3" s="987"/>
      <c r="F3" s="7"/>
      <c r="G3" s="986" t="s">
        <v>752</v>
      </c>
      <c r="H3" s="986"/>
    </row>
    <row r="4" spans="1:28" ht="19.5" customHeight="1" x14ac:dyDescent="0.25">
      <c r="A4" s="580" t="s">
        <v>292</v>
      </c>
      <c r="B4" s="996" t="s">
        <v>54</v>
      </c>
      <c r="C4" s="996"/>
      <c r="D4" s="996"/>
      <c r="E4" s="996"/>
      <c r="F4" s="7"/>
      <c r="G4" s="986" t="s">
        <v>753</v>
      </c>
      <c r="H4" s="986"/>
    </row>
    <row r="5" spans="1:28" ht="19.5" customHeight="1" x14ac:dyDescent="0.25">
      <c r="A5" s="580"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584"/>
      <c r="J7" s="584"/>
      <c r="Z7" s="581"/>
      <c r="AA7" s="582"/>
      <c r="AB7" s="357"/>
    </row>
    <row r="8" spans="1:28" ht="24" customHeight="1" x14ac:dyDescent="0.25">
      <c r="A8" s="589" t="s">
        <v>1</v>
      </c>
      <c r="B8" s="967" t="s">
        <v>201</v>
      </c>
      <c r="C8" s="967"/>
      <c r="D8" s="967"/>
      <c r="E8" s="967"/>
      <c r="G8" s="997" t="s">
        <v>936</v>
      </c>
      <c r="Z8" s="1028" t="s">
        <v>611</v>
      </c>
      <c r="AA8" s="1029"/>
      <c r="AB8" s="357">
        <v>0.26819999999999999</v>
      </c>
    </row>
    <row r="9" spans="1:28" ht="24" customHeight="1" x14ac:dyDescent="0.25">
      <c r="A9" s="589" t="s">
        <v>0</v>
      </c>
      <c r="B9" s="967" t="s">
        <v>581</v>
      </c>
      <c r="C9" s="967"/>
      <c r="D9" s="967"/>
      <c r="E9" s="967"/>
      <c r="G9" s="997"/>
      <c r="Z9" s="1028" t="s">
        <v>612</v>
      </c>
      <c r="AA9" s="1029"/>
      <c r="AB9" s="357">
        <v>3.1300000000000001E-2</v>
      </c>
    </row>
    <row r="10" spans="1:28" ht="36.75" customHeight="1" x14ac:dyDescent="0.25">
      <c r="A10" s="589" t="s">
        <v>2</v>
      </c>
      <c r="B10" s="1034" t="s">
        <v>1024</v>
      </c>
      <c r="C10" s="1035"/>
      <c r="D10" s="1035"/>
      <c r="E10" s="1035"/>
      <c r="G10" s="997"/>
      <c r="H10" s="7"/>
      <c r="Z10" s="1028"/>
      <c r="AA10" s="1029"/>
      <c r="AB10" s="357"/>
    </row>
    <row r="11" spans="1:28" ht="15.75" customHeight="1" x14ac:dyDescent="0.25">
      <c r="A11" s="589" t="s">
        <v>29</v>
      </c>
      <c r="B11" s="1034"/>
      <c r="C11" s="1035"/>
      <c r="D11" s="1035"/>
      <c r="E11" s="1035"/>
      <c r="G11" s="254"/>
      <c r="H11" s="131" t="s">
        <v>562</v>
      </c>
      <c r="Z11" s="1028" t="s">
        <v>613</v>
      </c>
      <c r="AA11" s="1029"/>
      <c r="AB11" s="357">
        <v>0.26819999999999999</v>
      </c>
    </row>
    <row r="12" spans="1:28" ht="30" customHeight="1" x14ac:dyDescent="0.25">
      <c r="A12" s="589" t="s">
        <v>14</v>
      </c>
      <c r="B12" s="1102" t="s">
        <v>54</v>
      </c>
      <c r="C12" s="1103"/>
      <c r="D12" s="1103"/>
      <c r="E12" s="1104"/>
      <c r="G12" s="254"/>
      <c r="H12" s="131" t="s">
        <v>563</v>
      </c>
      <c r="Z12" s="1028" t="s">
        <v>614</v>
      </c>
      <c r="AA12" s="1029"/>
      <c r="AB12" s="357">
        <v>1.18E-2</v>
      </c>
    </row>
    <row r="13" spans="1:28" ht="30" customHeight="1" x14ac:dyDescent="0.25">
      <c r="A13" s="589" t="s">
        <v>3</v>
      </c>
      <c r="B13" s="1010" t="s">
        <v>1025</v>
      </c>
      <c r="C13" s="1010"/>
      <c r="D13" s="1010"/>
      <c r="E13" s="1010"/>
      <c r="G13" s="256"/>
      <c r="H13" s="256">
        <f>'Objectifs CO2'!X48</f>
        <v>0</v>
      </c>
      <c r="I13" s="256">
        <f>'Objectifs CO2'!X66</f>
        <v>0</v>
      </c>
      <c r="J13" s="256">
        <f>'Objectifs CO2'!X84</f>
        <v>0</v>
      </c>
      <c r="K13" s="256">
        <f>'Objectifs CO2'!X102</f>
        <v>0</v>
      </c>
      <c r="L13" s="256">
        <f>'Objectifs CO2'!X120</f>
        <v>0</v>
      </c>
      <c r="M13" s="585" t="s">
        <v>564</v>
      </c>
      <c r="Z13" s="1028" t="s">
        <v>615</v>
      </c>
      <c r="AA13" s="1029"/>
      <c r="AB13" s="358">
        <f>AB15/0.55</f>
        <v>0.50363636363636366</v>
      </c>
    </row>
    <row r="14" spans="1:28" ht="30" customHeight="1" x14ac:dyDescent="0.25">
      <c r="A14" s="589" t="s">
        <v>15</v>
      </c>
      <c r="B14" s="1010"/>
      <c r="C14" s="1010"/>
      <c r="D14" s="1010"/>
      <c r="E14" s="1010"/>
      <c r="G14" s="256"/>
      <c r="H14" s="256">
        <f>'Objectifs CO2'!Z48</f>
        <v>0</v>
      </c>
      <c r="I14" s="256">
        <f>'Objectifs CO2'!Z66</f>
        <v>0</v>
      </c>
      <c r="J14" s="256">
        <f>'Objectifs CO2'!Z84</f>
        <v>0</v>
      </c>
      <c r="K14" s="256">
        <f>'Objectifs CO2'!Z103</f>
        <v>0</v>
      </c>
      <c r="L14" s="256">
        <f>'Objectifs CO2'!Z121</f>
        <v>0</v>
      </c>
      <c r="M14" s="585" t="s">
        <v>565</v>
      </c>
      <c r="Z14" s="1028" t="s">
        <v>616</v>
      </c>
      <c r="AA14" s="1029"/>
      <c r="AB14" s="357">
        <v>0.26819999999999999</v>
      </c>
    </row>
    <row r="15" spans="1:28" ht="30" customHeight="1" x14ac:dyDescent="0.25">
      <c r="A15" s="589" t="s">
        <v>4</v>
      </c>
      <c r="B15" s="1010">
        <v>2015</v>
      </c>
      <c r="C15" s="1010"/>
      <c r="D15" s="1010"/>
      <c r="E15" s="1010"/>
      <c r="Z15" s="1028" t="s">
        <v>578</v>
      </c>
      <c r="AA15" s="1029"/>
      <c r="AB15" s="357">
        <v>0.27700000000000002</v>
      </c>
    </row>
    <row r="16" spans="1:28" ht="30" customHeight="1" x14ac:dyDescent="0.25">
      <c r="A16" s="589" t="s">
        <v>5</v>
      </c>
      <c r="B16" s="1010">
        <v>2019</v>
      </c>
      <c r="C16" s="1010"/>
      <c r="D16" s="1010"/>
      <c r="E16" s="1010"/>
      <c r="G16" s="60" t="s">
        <v>203</v>
      </c>
      <c r="H16" s="60" t="s">
        <v>204</v>
      </c>
      <c r="I16" s="59" t="s">
        <v>205</v>
      </c>
      <c r="J16" s="59" t="s">
        <v>206</v>
      </c>
      <c r="K16" s="60" t="s">
        <v>118</v>
      </c>
      <c r="L16" s="60" t="s">
        <v>119</v>
      </c>
      <c r="Z16" s="1028" t="s">
        <v>579</v>
      </c>
      <c r="AA16" s="1029"/>
      <c r="AB16" s="357">
        <v>0.20269999999999999</v>
      </c>
    </row>
    <row r="17" spans="1:12" ht="30" customHeight="1" x14ac:dyDescent="0.25">
      <c r="A17" s="589" t="s">
        <v>6</v>
      </c>
      <c r="B17" s="1012">
        <v>20000</v>
      </c>
      <c r="C17" s="1012"/>
      <c r="D17" s="1012"/>
      <c r="E17" s="1012"/>
      <c r="G17" s="275">
        <f>SUM(G13:L13)</f>
        <v>0</v>
      </c>
      <c r="H17" s="275">
        <f>SUM(G14:L14)</f>
        <v>0</v>
      </c>
      <c r="I17" s="59">
        <v>0.25</v>
      </c>
      <c r="J17" s="59">
        <v>0.25</v>
      </c>
      <c r="K17" s="60">
        <f>AB8</f>
        <v>0.26819999999999999</v>
      </c>
      <c r="L17" s="359">
        <f>AB15</f>
        <v>0.27700000000000002</v>
      </c>
    </row>
    <row r="18" spans="1:12" ht="30" customHeight="1" x14ac:dyDescent="0.25">
      <c r="A18" s="589" t="s">
        <v>7</v>
      </c>
      <c r="B18" s="1012">
        <v>0</v>
      </c>
      <c r="C18" s="1012"/>
      <c r="D18" s="1012"/>
      <c r="E18" s="1012"/>
    </row>
    <row r="19" spans="1:12" ht="30" customHeight="1" x14ac:dyDescent="0.25">
      <c r="A19" s="99" t="s">
        <v>307</v>
      </c>
      <c r="B19" s="1039">
        <f>(G17+H17)*I17*J17*1000</f>
        <v>0</v>
      </c>
      <c r="C19" s="1040"/>
      <c r="D19" s="1040"/>
      <c r="E19" s="1040"/>
      <c r="G19" s="586" t="s">
        <v>121</v>
      </c>
      <c r="H19" s="586" t="s">
        <v>117</v>
      </c>
    </row>
    <row r="20" spans="1:12" ht="30" customHeight="1" x14ac:dyDescent="0.25">
      <c r="A20" s="96" t="s">
        <v>306</v>
      </c>
      <c r="B20" s="1041">
        <f>L17*H25</f>
        <v>0</v>
      </c>
      <c r="C20" s="1042"/>
      <c r="D20" s="1042"/>
      <c r="E20" s="1042"/>
      <c r="G20" s="586">
        <v>0.14000000000000001</v>
      </c>
      <c r="H20" s="586">
        <v>0.7</v>
      </c>
    </row>
    <row r="21" spans="1:12" ht="30" customHeight="1" x14ac:dyDescent="0.25">
      <c r="A21" s="589" t="s">
        <v>8</v>
      </c>
      <c r="B21" s="1000">
        <f>B19/2*G20+B19/2/10*H20</f>
        <v>0</v>
      </c>
      <c r="C21" s="1000"/>
      <c r="D21" s="1000"/>
      <c r="E21" s="1000"/>
    </row>
    <row r="22" spans="1:12" ht="30" customHeight="1" x14ac:dyDescent="0.25">
      <c r="A22" s="589" t="s">
        <v>9</v>
      </c>
      <c r="B22" s="1000"/>
      <c r="C22" s="1000"/>
      <c r="D22" s="1000"/>
      <c r="E22" s="1000"/>
    </row>
    <row r="23" spans="1:12" ht="30" customHeight="1" x14ac:dyDescent="0.25">
      <c r="A23" s="589" t="s">
        <v>301</v>
      </c>
      <c r="B23" s="1016" t="e">
        <f>B17/(B21+B22)</f>
        <v>#DIV/0!</v>
      </c>
      <c r="C23" s="1016"/>
      <c r="D23" s="1016"/>
      <c r="E23" s="1016"/>
    </row>
    <row r="24" spans="1:12" ht="30" customHeight="1" x14ac:dyDescent="0.25">
      <c r="A24" s="589" t="s">
        <v>302</v>
      </c>
      <c r="B24" s="1017" t="e">
        <f>(B17-B18)/(B21+B22)</f>
        <v>#DIV/0!</v>
      </c>
      <c r="C24" s="1017"/>
      <c r="D24" s="1017"/>
      <c r="E24" s="1017"/>
    </row>
    <row r="25" spans="1:12" ht="30" customHeight="1" x14ac:dyDescent="0.25">
      <c r="A25" s="100" t="s">
        <v>305</v>
      </c>
      <c r="B25" s="1070">
        <f>G17*I17*J17*L17+H17*I17*J17*K17</f>
        <v>0</v>
      </c>
      <c r="C25" s="1070"/>
      <c r="D25" s="1070"/>
      <c r="E25" s="1070"/>
    </row>
    <row r="26" spans="1:12" ht="30" customHeight="1" x14ac:dyDescent="0.25">
      <c r="A26" s="101" t="s">
        <v>303</v>
      </c>
      <c r="B26" s="1058">
        <f>B25/'Objectifs CO2'!C7</f>
        <v>0</v>
      </c>
      <c r="C26" s="1058"/>
      <c r="D26" s="1058"/>
      <c r="E26" s="1058"/>
    </row>
    <row r="27" spans="1:12" ht="30" customHeight="1" x14ac:dyDescent="0.25">
      <c r="A27" s="101" t="s">
        <v>304</v>
      </c>
      <c r="B27" s="1056">
        <f>B25/'Objectifs CO2'!C4</f>
        <v>0</v>
      </c>
      <c r="C27" s="1057"/>
      <c r="D27" s="1057"/>
      <c r="E27" s="1057"/>
    </row>
    <row r="28" spans="1:12" ht="30" customHeight="1" x14ac:dyDescent="0.25">
      <c r="A28" s="101" t="s">
        <v>22</v>
      </c>
      <c r="B28" s="1010"/>
      <c r="C28" s="1010"/>
      <c r="D28" s="1010"/>
      <c r="E28" s="1010"/>
    </row>
    <row r="29" spans="1:12" ht="30" customHeight="1" x14ac:dyDescent="0.25">
      <c r="A29" s="101" t="s">
        <v>257</v>
      </c>
      <c r="B29" s="1011" t="s">
        <v>282</v>
      </c>
      <c r="C29" s="1011"/>
      <c r="D29" s="1011"/>
      <c r="E29" s="1011"/>
      <c r="F29" s="6" t="s">
        <v>264</v>
      </c>
    </row>
    <row r="31" spans="1:12" x14ac:dyDescent="0.25">
      <c r="A31" s="603" t="s">
        <v>1065</v>
      </c>
      <c r="B31" s="1003" t="s">
        <v>675</v>
      </c>
      <c r="C31" s="1003"/>
      <c r="D31" s="1003"/>
      <c r="E31" s="575" t="s">
        <v>676</v>
      </c>
    </row>
    <row r="32" spans="1:12"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77"/>
      <c r="E43" s="94" t="s">
        <v>730</v>
      </c>
    </row>
    <row r="44" spans="1:12" x14ac:dyDescent="0.25">
      <c r="A44" s="57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B44:D44"/>
    <mergeCell ref="G46:L46"/>
    <mergeCell ref="A47:A51"/>
    <mergeCell ref="B47:F47"/>
    <mergeCell ref="G47:L47"/>
    <mergeCell ref="B48:F48"/>
    <mergeCell ref="G48:L48"/>
    <mergeCell ref="B49:F49"/>
    <mergeCell ref="G49:L49"/>
    <mergeCell ref="B50:F50"/>
    <mergeCell ref="G50:L50"/>
    <mergeCell ref="B51:F51"/>
    <mergeCell ref="G51:L51"/>
    <mergeCell ref="B38:D38"/>
    <mergeCell ref="B39:D39"/>
    <mergeCell ref="B40:D40"/>
    <mergeCell ref="G40:I40"/>
    <mergeCell ref="B41:D41"/>
    <mergeCell ref="B42:D42"/>
    <mergeCell ref="B34:D34"/>
    <mergeCell ref="H34:I34"/>
    <mergeCell ref="B35:D35"/>
    <mergeCell ref="H35:I35"/>
    <mergeCell ref="B36:D36"/>
    <mergeCell ref="B37:D37"/>
    <mergeCell ref="B29:E29"/>
    <mergeCell ref="B31:D31"/>
    <mergeCell ref="B32:D32"/>
    <mergeCell ref="G32:I32"/>
    <mergeCell ref="B33:D33"/>
    <mergeCell ref="H33:I33"/>
    <mergeCell ref="B23:E23"/>
    <mergeCell ref="B24:E24"/>
    <mergeCell ref="B25:E25"/>
    <mergeCell ref="B26:E26"/>
    <mergeCell ref="B27:E27"/>
    <mergeCell ref="B28:E28"/>
    <mergeCell ref="B17:E17"/>
    <mergeCell ref="B18:E18"/>
    <mergeCell ref="B19:E19"/>
    <mergeCell ref="B20:E20"/>
    <mergeCell ref="B21:E21"/>
    <mergeCell ref="B22:E22"/>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203" priority="1" operator="containsText" text="Terminé">
      <formula>NOT(ISERROR(SEARCH("Terminé",B5)))</formula>
    </cfRule>
    <cfRule type="containsText" dxfId="202" priority="2" operator="containsText" text="En cours">
      <formula>NOT(ISERROR(SEARCH("En cours",B5)))</formula>
    </cfRule>
    <cfRule type="containsText" dxfId="20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D141"/>
  <sheetViews>
    <sheetView topLeftCell="L104" zoomScale="160" zoomScaleNormal="160" workbookViewId="0">
      <selection activeCell="N46" sqref="N46"/>
    </sheetView>
  </sheetViews>
  <sheetFormatPr baseColWidth="10" defaultColWidth="11.42578125" defaultRowHeight="15" x14ac:dyDescent="0.25"/>
  <cols>
    <col min="1" max="1" width="10.5703125" style="202" customWidth="1"/>
    <col min="2" max="2" width="20.5703125" style="202" customWidth="1"/>
    <col min="3" max="3" width="18" style="30" customWidth="1"/>
    <col min="4" max="4" width="42.28515625" style="30" customWidth="1"/>
    <col min="5" max="5" width="14.7109375" style="30" customWidth="1"/>
    <col min="6" max="6" width="17.28515625" style="30" customWidth="1"/>
    <col min="7" max="7" width="12.7109375" style="30" customWidth="1"/>
    <col min="8" max="9" width="9.42578125" style="51" customWidth="1"/>
    <col min="10" max="12" width="8.85546875" style="51" customWidth="1"/>
    <col min="13" max="13" width="8.85546875" style="30" customWidth="1"/>
    <col min="14" max="14" width="12.7109375" style="30" customWidth="1"/>
    <col min="15" max="15" width="2.28515625" style="30" customWidth="1"/>
    <col min="16" max="16" width="17.42578125" style="30" bestFit="1" customWidth="1"/>
    <col min="17" max="17" width="10" style="30" customWidth="1"/>
    <col min="18" max="18" width="17.42578125" style="30" customWidth="1"/>
    <col min="19" max="16384" width="11.42578125" style="30"/>
  </cols>
  <sheetData>
    <row r="1" spans="1:25" s="127" customFormat="1" ht="60" x14ac:dyDescent="0.25">
      <c r="A1" s="128" t="s">
        <v>23</v>
      </c>
      <c r="B1" s="420" t="s">
        <v>766</v>
      </c>
      <c r="C1" s="123" t="s">
        <v>1</v>
      </c>
      <c r="D1" s="123" t="s">
        <v>0</v>
      </c>
      <c r="E1" s="123" t="s">
        <v>24</v>
      </c>
      <c r="F1" s="123" t="s">
        <v>14</v>
      </c>
      <c r="G1" s="123" t="s">
        <v>474</v>
      </c>
      <c r="H1" s="124" t="s">
        <v>25</v>
      </c>
      <c r="I1" s="124" t="s">
        <v>475</v>
      </c>
      <c r="J1" s="124" t="s">
        <v>7</v>
      </c>
      <c r="K1" s="124" t="s">
        <v>8</v>
      </c>
      <c r="L1" s="124" t="s">
        <v>26</v>
      </c>
      <c r="M1" s="123" t="s">
        <v>27</v>
      </c>
      <c r="N1" s="123" t="s">
        <v>63</v>
      </c>
      <c r="O1" s="123"/>
      <c r="P1" s="125" t="s">
        <v>16</v>
      </c>
      <c r="Q1" s="125" t="s">
        <v>5</v>
      </c>
      <c r="R1" s="282" t="s">
        <v>582</v>
      </c>
      <c r="S1" s="126" t="s">
        <v>590</v>
      </c>
      <c r="T1" s="126" t="s">
        <v>591</v>
      </c>
      <c r="U1" s="126" t="s">
        <v>592</v>
      </c>
      <c r="V1" s="126" t="s">
        <v>593</v>
      </c>
      <c r="W1" s="126" t="s">
        <v>594</v>
      </c>
      <c r="X1" s="126" t="s">
        <v>595</v>
      </c>
      <c r="Y1" s="126" t="s">
        <v>596</v>
      </c>
    </row>
    <row r="2" spans="1:25" s="139" customFormat="1" x14ac:dyDescent="0.25">
      <c r="A2" s="370" t="s">
        <v>122</v>
      </c>
      <c r="B2" s="414" t="str">
        <f>'ADO-1'!B$3:E$3</f>
        <v>Communication</v>
      </c>
      <c r="C2" s="419" t="str">
        <f>'ADO-1'!$B$8</f>
        <v xml:space="preserve">Information </v>
      </c>
      <c r="D2" s="133" t="str">
        <f>'ADO-1'!$B$9</f>
        <v>Information des citoyens</v>
      </c>
      <c r="E2" s="133" t="str">
        <f>'ADO-1'!$B$4</f>
        <v>Territoire</v>
      </c>
      <c r="F2" s="133" t="str">
        <f>'ADO-1'!$B$12</f>
        <v>AC MESSANCY</v>
      </c>
      <c r="G2" s="133" t="str">
        <f>'ADO-1'!$B$6</f>
        <v>Fonds propres</v>
      </c>
      <c r="H2" s="134">
        <f>'ADO-1'!$B$17</f>
        <v>5000</v>
      </c>
      <c r="I2" s="133" t="str">
        <f>'ADO-1'!$B$7</f>
        <v>Néant</v>
      </c>
      <c r="J2" s="134">
        <f>'ADO-1'!$B$18</f>
        <v>0</v>
      </c>
      <c r="K2" s="134">
        <f>'ADO-1'!$B$21</f>
        <v>1</v>
      </c>
      <c r="L2" s="134">
        <f>'ADO-1'!$B$22</f>
        <v>0</v>
      </c>
      <c r="M2" s="135">
        <f>'ADO-1'!$B$24</f>
        <v>5000</v>
      </c>
      <c r="N2" s="135">
        <f>'ADO-1'!$B$20/1000</f>
        <v>0</v>
      </c>
      <c r="O2" s="136">
        <f t="shared" ref="O2:O13" si="0">IF(H2=0,0,N2/(H2-J2)*1000)</f>
        <v>0</v>
      </c>
      <c r="P2" s="137" t="str">
        <f>'ADO-1'!$B$5</f>
        <v>A faire</v>
      </c>
      <c r="Q2" s="140">
        <f>'ADO-1'!$B$16</f>
        <v>2025</v>
      </c>
      <c r="R2" s="283" t="str">
        <f t="shared" ref="R2:R13" si="1">IF(P2="terminé", N2,"")</f>
        <v/>
      </c>
      <c r="S2" s="138">
        <f t="shared" ref="S2:S7" si="2">IF((P2="Terminé")*AND(E2="Territoire"),N2,0)</f>
        <v>0</v>
      </c>
      <c r="T2" s="138">
        <f t="shared" ref="T2:T13" si="3">IF((P2="Terminé")*AND(E2="Agriculture"),N2,0)</f>
        <v>0</v>
      </c>
      <c r="U2" s="138">
        <f t="shared" ref="U2:U13" si="4">IF((P2="Terminé")*AND(E2="Industrie"), N2,0)</f>
        <v>0</v>
      </c>
      <c r="V2" s="138">
        <f t="shared" ref="V2:V13" si="5">IF((P2="Terminé")*AND(E2="Logement"),N2,0)</f>
        <v>0</v>
      </c>
      <c r="W2" s="138">
        <f t="shared" ref="W2:W13" si="6">IF((P2="Terminé")*AND(E2="Tertiaire"),N2,0)</f>
        <v>0</v>
      </c>
      <c r="X2" s="138">
        <f t="shared" ref="X2:X13" si="7">IF((P2="Terminé")*AND(E2="Transport"),N2,0)</f>
        <v>0</v>
      </c>
      <c r="Y2" s="138">
        <f t="shared" ref="Y2:Y13" si="8">IF((P2="Terminé")*AND(E2="Communal"),N2,0)</f>
        <v>0</v>
      </c>
    </row>
    <row r="3" spans="1:25" s="139" customFormat="1" x14ac:dyDescent="0.25">
      <c r="A3" s="370" t="s">
        <v>123</v>
      </c>
      <c r="B3" s="414" t="str">
        <f>'ADO-2'!B$3:E$3</f>
        <v>Communication</v>
      </c>
      <c r="C3" s="419" t="str">
        <f>'ADO-2'!$B$8</f>
        <v>Sensibilisation</v>
      </c>
      <c r="D3" s="133" t="str">
        <f>'ADO-2'!$B$9</f>
        <v>Enjeux du réchauffement climatique</v>
      </c>
      <c r="E3" s="133" t="str">
        <f>'ADO-2'!$B$4</f>
        <v>Territoire</v>
      </c>
      <c r="F3" s="133" t="str">
        <f>'ADO-2'!$B$12</f>
        <v>AC MESSANCY</v>
      </c>
      <c r="G3" s="133" t="str">
        <f>'ADO-2'!$B$6</f>
        <v>Fonds propres</v>
      </c>
      <c r="H3" s="134">
        <f>'ADO-2'!$B$17</f>
        <v>5000</v>
      </c>
      <c r="I3" s="133" t="str">
        <f>'ADO-2'!$B$7</f>
        <v>Néant</v>
      </c>
      <c r="J3" s="134">
        <f>'ADO-2'!$B$18</f>
        <v>0</v>
      </c>
      <c r="K3" s="134">
        <f>'ADO-2'!$B$21</f>
        <v>1</v>
      </c>
      <c r="L3" s="134">
        <f>'ADO-2'!$B$22</f>
        <v>0</v>
      </c>
      <c r="M3" s="135">
        <f>'ADO-2'!$B$24</f>
        <v>5000</v>
      </c>
      <c r="N3" s="135">
        <f>'ADO-2'!$B$20/1000</f>
        <v>0</v>
      </c>
      <c r="O3" s="136">
        <f t="shared" si="0"/>
        <v>0</v>
      </c>
      <c r="P3" s="137" t="str">
        <f>'ADO-2'!$B$5</f>
        <v>A faire</v>
      </c>
      <c r="Q3" s="140">
        <f>'ADO-2'!$B$16</f>
        <v>2030</v>
      </c>
      <c r="R3" s="283" t="str">
        <f t="shared" si="1"/>
        <v/>
      </c>
      <c r="S3" s="138">
        <f t="shared" si="2"/>
        <v>0</v>
      </c>
      <c r="T3" s="138">
        <f t="shared" si="3"/>
        <v>0</v>
      </c>
      <c r="U3" s="138">
        <f t="shared" si="4"/>
        <v>0</v>
      </c>
      <c r="V3" s="138">
        <f t="shared" si="5"/>
        <v>0</v>
      </c>
      <c r="W3" s="138">
        <f t="shared" si="6"/>
        <v>0</v>
      </c>
      <c r="X3" s="138">
        <f t="shared" si="7"/>
        <v>0</v>
      </c>
      <c r="Y3" s="138">
        <f t="shared" si="8"/>
        <v>0</v>
      </c>
    </row>
    <row r="4" spans="1:25" s="139" customFormat="1" x14ac:dyDescent="0.25">
      <c r="A4" s="370" t="s">
        <v>78</v>
      </c>
      <c r="B4" s="414" t="str">
        <f>'ADO-3'!B$3:E$3</f>
        <v>Communication</v>
      </c>
      <c r="C4" s="419" t="str">
        <f>'ADO-3'!$B$8</f>
        <v>Formation et Information</v>
      </c>
      <c r="D4" s="133" t="str">
        <f>'ADO-3'!$B$9</f>
        <v>Economie d'énergies en milieu scolaire</v>
      </c>
      <c r="E4" s="133" t="str">
        <f>'ADO-3'!$B$4</f>
        <v>Communal</v>
      </c>
      <c r="F4" s="133" t="str">
        <f>'ADO-3'!$B$12</f>
        <v>AC MESSANCY</v>
      </c>
      <c r="G4" s="133" t="str">
        <f>'ADO-3'!$B$6</f>
        <v>Fonds propres</v>
      </c>
      <c r="H4" s="134">
        <f>'ADO-3'!$B$17</f>
        <v>10000</v>
      </c>
      <c r="I4" s="133" t="str">
        <f>'ADO-3'!$B$7</f>
        <v>Néant</v>
      </c>
      <c r="J4" s="134">
        <f>'ADO-3'!$B$18</f>
        <v>0</v>
      </c>
      <c r="K4" s="134">
        <f>'ADO-3'!$B$21</f>
        <v>12074.903473522123</v>
      </c>
      <c r="L4" s="134">
        <f>'ADO-3'!$B$22</f>
        <v>0</v>
      </c>
      <c r="M4" s="135">
        <f>'ADO-3'!$B$24</f>
        <v>0.82816397016572629</v>
      </c>
      <c r="N4" s="135">
        <f>'ADO-3'!$B$20/1000</f>
        <v>0</v>
      </c>
      <c r="O4" s="136">
        <f t="shared" si="0"/>
        <v>0</v>
      </c>
      <c r="P4" s="137" t="str">
        <f>'ADO-3'!$B$5</f>
        <v>A faire</v>
      </c>
      <c r="Q4" s="140">
        <f>'ADO-3'!$B$16</f>
        <v>2030</v>
      </c>
      <c r="R4" s="283" t="str">
        <f t="shared" si="1"/>
        <v/>
      </c>
      <c r="S4" s="138">
        <f t="shared" si="2"/>
        <v>0</v>
      </c>
      <c r="T4" s="138">
        <f t="shared" si="3"/>
        <v>0</v>
      </c>
      <c r="U4" s="138">
        <f t="shared" si="4"/>
        <v>0</v>
      </c>
      <c r="V4" s="138">
        <f t="shared" si="5"/>
        <v>0</v>
      </c>
      <c r="W4" s="138">
        <f t="shared" si="6"/>
        <v>0</v>
      </c>
      <c r="X4" s="138">
        <f t="shared" si="7"/>
        <v>0</v>
      </c>
      <c r="Y4" s="138">
        <f t="shared" si="8"/>
        <v>0</v>
      </c>
    </row>
    <row r="5" spans="1:25" s="139" customFormat="1" x14ac:dyDescent="0.25">
      <c r="A5" s="370" t="s">
        <v>126</v>
      </c>
      <c r="B5" s="414" t="str">
        <f>'ADO-4'!B$3:E$3</f>
        <v>Communication</v>
      </c>
      <c r="C5" s="419" t="str">
        <f>'ADO-4'!$B$8</f>
        <v>Agriculteurs</v>
      </c>
      <c r="D5" s="133" t="str">
        <f>'ADO-4'!$B$9</f>
        <v>Informations aux agriculteurs</v>
      </c>
      <c r="E5" s="133" t="str">
        <f>'ADO-4'!$B$4</f>
        <v>Agriculture</v>
      </c>
      <c r="F5" s="133" t="str">
        <f>'ADO-4'!$B$12</f>
        <v>AC MESSANCY</v>
      </c>
      <c r="G5" s="133" t="str">
        <f>'ADO-4'!$B$6</f>
        <v>Fonds propres</v>
      </c>
      <c r="H5" s="134">
        <f>'ADO-4'!$B$17</f>
        <v>2000</v>
      </c>
      <c r="I5" s="133" t="str">
        <f>'ADO-4'!$B$7</f>
        <v>Néant</v>
      </c>
      <c r="J5" s="134">
        <f>'ADO-4'!$B$18</f>
        <v>0</v>
      </c>
      <c r="K5" s="134">
        <f>'ADO-4'!$B$21</f>
        <v>1</v>
      </c>
      <c r="L5" s="134">
        <f>'ADO-4'!$B$22</f>
        <v>0</v>
      </c>
      <c r="M5" s="135">
        <f>'ADO-4'!$B$24</f>
        <v>2000</v>
      </c>
      <c r="N5" s="135">
        <f>'ADO-4'!$B20/1000</f>
        <v>0</v>
      </c>
      <c r="O5" s="136">
        <f t="shared" si="0"/>
        <v>0</v>
      </c>
      <c r="P5" s="137" t="str">
        <f>'ADO-4'!$B$5</f>
        <v>A faire</v>
      </c>
      <c r="Q5" s="140">
        <f>'ADO-4'!$B$16</f>
        <v>2022</v>
      </c>
      <c r="R5" s="283" t="str">
        <f t="shared" si="1"/>
        <v/>
      </c>
      <c r="S5" s="138">
        <f t="shared" si="2"/>
        <v>0</v>
      </c>
      <c r="T5" s="138">
        <f t="shared" si="3"/>
        <v>0</v>
      </c>
      <c r="U5" s="138">
        <f t="shared" si="4"/>
        <v>0</v>
      </c>
      <c r="V5" s="138">
        <f t="shared" si="5"/>
        <v>0</v>
      </c>
      <c r="W5" s="138">
        <f t="shared" si="6"/>
        <v>0</v>
      </c>
      <c r="X5" s="138">
        <f t="shared" si="7"/>
        <v>0</v>
      </c>
      <c r="Y5" s="138">
        <f t="shared" si="8"/>
        <v>0</v>
      </c>
    </row>
    <row r="6" spans="1:25" s="139" customFormat="1" x14ac:dyDescent="0.25">
      <c r="A6" s="370" t="s">
        <v>132</v>
      </c>
      <c r="B6" s="414" t="str">
        <f>'ADO-5'!B$3:E$3</f>
        <v>Communication</v>
      </c>
      <c r="C6" s="419" t="str">
        <f>'ADO-5'!$B$8</f>
        <v>Entreprises tous secteurs</v>
      </c>
      <c r="D6" s="133" t="str">
        <f>'ADO-5'!$B$9</f>
        <v>Information aux entreprises</v>
      </c>
      <c r="E6" s="133" t="str">
        <f>'ADO-5'!$B$4</f>
        <v>Industrie</v>
      </c>
      <c r="F6" s="133" t="str">
        <f>'ADO-5'!$B$12</f>
        <v>AC MESSANCY</v>
      </c>
      <c r="G6" s="133" t="str">
        <f>'ADO-5'!$B$6</f>
        <v>Fonds propres</v>
      </c>
      <c r="H6" s="134">
        <f>'ADO-5'!$B$17</f>
        <v>2000</v>
      </c>
      <c r="I6" s="133" t="str">
        <f>'ADO-5'!$B$7</f>
        <v>Néant</v>
      </c>
      <c r="J6" s="134">
        <f>'ADO-5'!$B$18</f>
        <v>0</v>
      </c>
      <c r="K6" s="134">
        <f>'ADO-5'!$B$21</f>
        <v>1</v>
      </c>
      <c r="L6" s="134">
        <f>'ADO-5'!$B$22</f>
        <v>0</v>
      </c>
      <c r="M6" s="135">
        <f>'ADO-5'!$B$24</f>
        <v>2000</v>
      </c>
      <c r="N6" s="135">
        <f>'ADO-5'!$B$20/1000</f>
        <v>0</v>
      </c>
      <c r="O6" s="136">
        <f t="shared" si="0"/>
        <v>0</v>
      </c>
      <c r="P6" s="137" t="str">
        <f>'ADO-5'!$B$5</f>
        <v>A faire</v>
      </c>
      <c r="Q6" s="140">
        <f>'ADO-5'!$B$16</f>
        <v>2022</v>
      </c>
      <c r="R6" s="283" t="str">
        <f t="shared" si="1"/>
        <v/>
      </c>
      <c r="S6" s="138">
        <f t="shared" si="2"/>
        <v>0</v>
      </c>
      <c r="T6" s="138">
        <f t="shared" si="3"/>
        <v>0</v>
      </c>
      <c r="U6" s="138">
        <f t="shared" si="4"/>
        <v>0</v>
      </c>
      <c r="V6" s="138">
        <f t="shared" si="5"/>
        <v>0</v>
      </c>
      <c r="W6" s="138">
        <f t="shared" si="6"/>
        <v>0</v>
      </c>
      <c r="X6" s="138">
        <f t="shared" si="7"/>
        <v>0</v>
      </c>
      <c r="Y6" s="138">
        <f t="shared" si="8"/>
        <v>0</v>
      </c>
    </row>
    <row r="7" spans="1:25" s="139" customFormat="1" x14ac:dyDescent="0.25">
      <c r="A7" s="370" t="s">
        <v>131</v>
      </c>
      <c r="B7" s="414" t="str">
        <f>'ADO-6'!B$3:E$3</f>
        <v>Communication</v>
      </c>
      <c r="C7" s="419" t="str">
        <f>'ADO-6'!$B$8</f>
        <v>Bâtiments communaux</v>
      </c>
      <c r="D7" s="133" t="str">
        <f>'ADO-6'!$B$9</f>
        <v>Suivi de la consommation énergétique</v>
      </c>
      <c r="E7" s="133" t="str">
        <f>'ADO-6'!$B$4</f>
        <v>Communal</v>
      </c>
      <c r="F7" s="133" t="str">
        <f>'ADO-6'!$B$12</f>
        <v>AC MESSANCY</v>
      </c>
      <c r="G7" s="133" t="str">
        <f>'ADO-6'!$B$6</f>
        <v>Fonds propres</v>
      </c>
      <c r="H7" s="134">
        <f>'ADO-6'!$B$17</f>
        <v>1000</v>
      </c>
      <c r="I7" s="133" t="str">
        <f>'ADO-6'!$B$7</f>
        <v>Néant</v>
      </c>
      <c r="J7" s="134">
        <f>'ADO-6'!$B$18</f>
        <v>0</v>
      </c>
      <c r="K7" s="134">
        <f>'ADO-6'!$B$21</f>
        <v>1</v>
      </c>
      <c r="L7" s="134">
        <f>'ADO-6'!$B$22</f>
        <v>0</v>
      </c>
      <c r="M7" s="135">
        <f>'ADO-6'!$B$24</f>
        <v>1000</v>
      </c>
      <c r="N7" s="135">
        <f>'ADO-6'!$B$20/1000</f>
        <v>0</v>
      </c>
      <c r="O7" s="136">
        <f t="shared" si="0"/>
        <v>0</v>
      </c>
      <c r="P7" s="137" t="str">
        <f>'ADO-6'!$B$5</f>
        <v>Terminé</v>
      </c>
      <c r="Q7" s="140">
        <f>'ADO-6'!$B$16</f>
        <v>2018</v>
      </c>
      <c r="R7" s="283">
        <f t="shared" si="1"/>
        <v>0</v>
      </c>
      <c r="S7" s="138">
        <f t="shared" si="2"/>
        <v>0</v>
      </c>
      <c r="T7" s="138">
        <f t="shared" si="3"/>
        <v>0</v>
      </c>
      <c r="U7" s="138">
        <f t="shared" si="4"/>
        <v>0</v>
      </c>
      <c r="V7" s="138">
        <f t="shared" si="5"/>
        <v>0</v>
      </c>
      <c r="W7" s="138">
        <f t="shared" si="6"/>
        <v>0</v>
      </c>
      <c r="X7" s="138">
        <f t="shared" si="7"/>
        <v>0</v>
      </c>
      <c r="Y7" s="138">
        <f t="shared" si="8"/>
        <v>0</v>
      </c>
    </row>
    <row r="8" spans="1:25" s="139" customFormat="1" x14ac:dyDescent="0.25">
      <c r="A8" s="370" t="s">
        <v>125</v>
      </c>
      <c r="B8" s="481" t="str">
        <f>'ADO-7'!B$3:E$3</f>
        <v>Communication</v>
      </c>
      <c r="C8" s="419" t="str">
        <f>'ADO-7'!$B$8</f>
        <v>Bâtiments communaux</v>
      </c>
      <c r="D8" s="133" t="str">
        <f>'ADO-7'!$B$9</f>
        <v>Audits énergétiques</v>
      </c>
      <c r="E8" s="133" t="str">
        <f>'ADO-7'!$B$4</f>
        <v>Communal</v>
      </c>
      <c r="F8" s="133" t="str">
        <f>'ADO-7'!$B$12</f>
        <v>AC MESSANCY</v>
      </c>
      <c r="G8" s="133" t="str">
        <f>'ADO-7'!$B$6</f>
        <v>Fonds propres</v>
      </c>
      <c r="H8" s="134">
        <f>'ADO-7'!$B$17</f>
        <v>50000</v>
      </c>
      <c r="I8" s="133" t="str">
        <f>'ADO-7'!$B$7</f>
        <v>Subs RW</v>
      </c>
      <c r="J8" s="134">
        <f>'ADO-7'!$B$18</f>
        <v>27500.000000000004</v>
      </c>
      <c r="K8" s="134">
        <f>'ADO-7'!$B$21</f>
        <v>1</v>
      </c>
      <c r="L8" s="134">
        <f>'ADO-7'!$B$22</f>
        <v>0</v>
      </c>
      <c r="M8" s="135">
        <f>'ADO-7'!$B$24</f>
        <v>22499.999999999996</v>
      </c>
      <c r="N8" s="135">
        <f>'ADO-7'!$B$20/1000</f>
        <v>0</v>
      </c>
      <c r="O8" s="136">
        <f>IF(H8=0,0,N8/(H8-J8)*1000)</f>
        <v>0</v>
      </c>
      <c r="P8" s="137" t="str">
        <f>'ADO-7'!$B$5</f>
        <v>A faire</v>
      </c>
      <c r="Q8" s="140">
        <f>'ADO-7'!$B$16</f>
        <v>2025</v>
      </c>
      <c r="R8" s="283" t="str">
        <f>IF(P8="terminé", N8,"")</f>
        <v/>
      </c>
      <c r="S8" s="138">
        <f>IF((P8="Terminé")*AND(E8="Territoire"),N8,0)</f>
        <v>0</v>
      </c>
      <c r="T8" s="138">
        <f>IF((P8="Terminé")*AND(E8="Agriculture"),N8,0)</f>
        <v>0</v>
      </c>
      <c r="U8" s="138">
        <f>IF((P8="Terminé")*AND(E8="Industrie"), N8,0)</f>
        <v>0</v>
      </c>
      <c r="V8" s="138">
        <f>IF((P8="Terminé")*AND(E8="Logement"),N8,0)</f>
        <v>0</v>
      </c>
      <c r="W8" s="138">
        <f>IF((P8="Terminé")*AND(E8="Tertiaire"),N8,0)</f>
        <v>0</v>
      </c>
      <c r="X8" s="138">
        <f>IF((P8="Terminé")*AND(E8="Transport"),N8,0)</f>
        <v>0</v>
      </c>
      <c r="Y8" s="138">
        <f>IF((P8="Terminé")*AND(E8="Communal"),N8,0)</f>
        <v>0</v>
      </c>
    </row>
    <row r="9" spans="1:25" s="139" customFormat="1" x14ac:dyDescent="0.25">
      <c r="A9" s="370" t="s">
        <v>134</v>
      </c>
      <c r="B9" s="481" t="str">
        <f>'ADO-8'!B$3:E$3</f>
        <v>Communication</v>
      </c>
      <c r="C9" s="419" t="str">
        <f>'ADO-8'!$B$8</f>
        <v>Grand public</v>
      </c>
      <c r="D9" s="133" t="str">
        <f>'ADO-8'!$B$9</f>
        <v>Page WEB</v>
      </c>
      <c r="E9" s="133" t="str">
        <f>'ADO-8'!$B$4</f>
        <v>Communal</v>
      </c>
      <c r="F9" s="133" t="str">
        <f>'ADO-8'!$B$12</f>
        <v>AC MESSANCY</v>
      </c>
      <c r="G9" s="133" t="str">
        <f>'ADO-8'!$B$6</f>
        <v>Fonds propres</v>
      </c>
      <c r="H9" s="134">
        <f>'ADO-8'!$B$17</f>
        <v>1000</v>
      </c>
      <c r="I9" s="133" t="str">
        <f>'ADO-8'!$B$7</f>
        <v>Néant</v>
      </c>
      <c r="J9" s="134">
        <f>'ADO-8'!$B$18</f>
        <v>0</v>
      </c>
      <c r="K9" s="134">
        <f>'ADO-8'!$B$21</f>
        <v>1</v>
      </c>
      <c r="L9" s="134">
        <f>'ADO-8'!$B$22</f>
        <v>0</v>
      </c>
      <c r="M9" s="135">
        <f>'ADO-8'!$B$24</f>
        <v>1000</v>
      </c>
      <c r="N9" s="135">
        <f>'ADO-8'!$B$20/1000</f>
        <v>0</v>
      </c>
      <c r="O9" s="136">
        <f>IF(H9=0,0,N9/(H9-J9)*1000)</f>
        <v>0</v>
      </c>
      <c r="P9" s="137" t="str">
        <f>'ADO-8'!$B$5</f>
        <v>A faire</v>
      </c>
      <c r="Q9" s="140">
        <f>'ADO-8'!$B$16</f>
        <v>2020</v>
      </c>
      <c r="R9" s="283" t="str">
        <f>IF(P9="terminé", N9,"")</f>
        <v/>
      </c>
      <c r="S9" s="138">
        <f>IF((P9="Terminé")*AND(E9="Territoire"),N9,0)</f>
        <v>0</v>
      </c>
      <c r="T9" s="138">
        <f>IF((P9="Terminé")*AND(E9="Agriculture"),N9,0)</f>
        <v>0</v>
      </c>
      <c r="U9" s="138">
        <f>IF((P9="Terminé")*AND(E9="Industrie"), N9,0)</f>
        <v>0</v>
      </c>
      <c r="V9" s="138">
        <f>IF((P9="Terminé")*AND(E9="Logement"),N9,0)</f>
        <v>0</v>
      </c>
      <c r="W9" s="138">
        <f>IF((P9="Terminé")*AND(E9="Tertiaire"),N9,0)</f>
        <v>0</v>
      </c>
      <c r="X9" s="138">
        <f>IF((P9="Terminé")*AND(E9="Transport"),N9,0)</f>
        <v>0</v>
      </c>
      <c r="Y9" s="138">
        <f>IF((P9="Terminé")*AND(E9="Communal"),N9,0)</f>
        <v>0</v>
      </c>
    </row>
    <row r="10" spans="1:25" s="139" customFormat="1" x14ac:dyDescent="0.25">
      <c r="A10" s="370" t="s">
        <v>135</v>
      </c>
      <c r="B10" s="481" t="str">
        <f>'ADO-9'!B$3:E$3</f>
        <v>Communication</v>
      </c>
      <c r="C10" s="419" t="str">
        <f>'ADO-9'!$B$8</f>
        <v>Ecoles</v>
      </c>
      <c r="D10" s="133" t="str">
        <f>'ADO-9'!$B$9</f>
        <v>Outils de sensibilisation</v>
      </c>
      <c r="E10" s="133" t="str">
        <f>'ADO-9'!$B$4</f>
        <v>Communal</v>
      </c>
      <c r="F10" s="133" t="str">
        <f>'ADO-9'!$B$12</f>
        <v>AC MESSANCY</v>
      </c>
      <c r="G10" s="133" t="str">
        <f>'ADO-9'!$B$6</f>
        <v>Fonds propres</v>
      </c>
      <c r="H10" s="134">
        <f>'ADO-9'!$B$17</f>
        <v>5000</v>
      </c>
      <c r="I10" s="133" t="str">
        <f>'ADO-9'!$B$7</f>
        <v>Néant</v>
      </c>
      <c r="J10" s="134">
        <f>'ADO-9'!$B$18</f>
        <v>0</v>
      </c>
      <c r="K10" s="134">
        <f>'ADO-9'!$B$21</f>
        <v>1</v>
      </c>
      <c r="L10" s="134">
        <f>'ADO-9'!$B$22</f>
        <v>0</v>
      </c>
      <c r="M10" s="135">
        <f>'ADO-9'!$B$24</f>
        <v>5000</v>
      </c>
      <c r="N10" s="135">
        <f>'ADO-9'!$B$20/1000</f>
        <v>0</v>
      </c>
      <c r="O10" s="136">
        <f>IF(H10=0,0,N10/(H10-J10)*1000)</f>
        <v>0</v>
      </c>
      <c r="P10" s="137" t="str">
        <f>'ADO-9'!$B$5</f>
        <v>A faire</v>
      </c>
      <c r="Q10" s="140">
        <f>'ADO-9'!$B$16</f>
        <v>2022</v>
      </c>
      <c r="R10" s="283" t="str">
        <f>IF(P10="terminé", N10,"")</f>
        <v/>
      </c>
      <c r="S10" s="138">
        <f>IF((P10="Terminé")*AND(E10="Territoire"),N10,0)</f>
        <v>0</v>
      </c>
      <c r="T10" s="138">
        <f>IF((P10="Terminé")*AND(E10="Agriculture"),N10,0)</f>
        <v>0</v>
      </c>
      <c r="U10" s="138">
        <f>IF((P10="Terminé")*AND(E10="Industrie"), N10,0)</f>
        <v>0</v>
      </c>
      <c r="V10" s="138">
        <f>IF((P10="Terminé")*AND(E10="Logement"),N10,0)</f>
        <v>0</v>
      </c>
      <c r="W10" s="138">
        <f>IF((P10="Terminé")*AND(E10="Tertiaire"),N10,0)</f>
        <v>0</v>
      </c>
      <c r="X10" s="138">
        <f>IF((P10="Terminé")*AND(E10="Transport"),N10,0)</f>
        <v>0</v>
      </c>
      <c r="Y10" s="138">
        <f>IF((P10="Terminé")*AND(E10="Communal"),N10,0)</f>
        <v>0</v>
      </c>
    </row>
    <row r="11" spans="1:25" s="139" customFormat="1" x14ac:dyDescent="0.25">
      <c r="A11" s="370" t="s">
        <v>244</v>
      </c>
      <c r="B11" s="565" t="str">
        <f>'ADO-10'!B$3:E$3</f>
        <v>Communication</v>
      </c>
      <c r="C11" s="419" t="str">
        <f>'ADO-10'!$B$8</f>
        <v>Tous publics</v>
      </c>
      <c r="D11" s="133" t="str">
        <f>'ADO-10'!$B$9</f>
        <v>Visites de terrain</v>
      </c>
      <c r="E11" s="133" t="str">
        <f>'ADO-10'!$B$4</f>
        <v>Communal</v>
      </c>
      <c r="F11" s="133" t="str">
        <f>'ADO-10'!$B$12</f>
        <v>AC MESSANCY</v>
      </c>
      <c r="G11" s="133" t="str">
        <f>'ADO-10'!$B$6</f>
        <v>Fonds propres</v>
      </c>
      <c r="H11" s="134">
        <f>'ADO-10'!$B$17</f>
        <v>5000</v>
      </c>
      <c r="I11" s="133" t="str">
        <f>'ADO-10'!$B$7</f>
        <v>Néant</v>
      </c>
      <c r="J11" s="134">
        <f>'ADO-10'!$B$18</f>
        <v>0</v>
      </c>
      <c r="K11" s="134">
        <f>'ADO-10'!$B$21</f>
        <v>1</v>
      </c>
      <c r="L11" s="134">
        <f>'ADO-10'!$B$22</f>
        <v>0</v>
      </c>
      <c r="M11" s="135">
        <f>'ADO-10'!$B$24</f>
        <v>5000</v>
      </c>
      <c r="N11" s="135">
        <f>'ADO-10'!$B$20/1000</f>
        <v>0</v>
      </c>
      <c r="O11" s="136">
        <f t="shared" ref="O11:O12" si="9">IF(H11=0,0,N11/(H11-J11)*1000)</f>
        <v>0</v>
      </c>
      <c r="P11" s="137" t="str">
        <f>'ADO-10'!$B$5</f>
        <v>A faire</v>
      </c>
      <c r="Q11" s="140">
        <f>'ADO-10'!$B$16</f>
        <v>2030</v>
      </c>
      <c r="R11" s="283" t="str">
        <f t="shared" ref="R11:R12" si="10">IF(P11="terminé", N11,"")</f>
        <v/>
      </c>
      <c r="S11" s="138">
        <f t="shared" ref="S11:S12" si="11">IF((P11="Terminé")*AND(E11="Territoire"),N11,0)</f>
        <v>0</v>
      </c>
      <c r="T11" s="138">
        <f t="shared" ref="T11:T12" si="12">IF((P11="Terminé")*AND(E11="Agriculture"),N11,0)</f>
        <v>0</v>
      </c>
      <c r="U11" s="138">
        <f t="shared" ref="U11:U12" si="13">IF((P11="Terminé")*AND(E11="Industrie"), N11,0)</f>
        <v>0</v>
      </c>
      <c r="V11" s="138">
        <f t="shared" ref="V11:V12" si="14">IF((P11="Terminé")*AND(E11="Logement"),N11,0)</f>
        <v>0</v>
      </c>
      <c r="W11" s="138">
        <f t="shared" ref="W11:W12" si="15">IF((P11="Terminé")*AND(E11="Tertiaire"),N11,0)</f>
        <v>0</v>
      </c>
      <c r="X11" s="138">
        <f t="shared" ref="X11:X12" si="16">IF((P11="Terminé")*AND(E11="Transport"),N11,0)</f>
        <v>0</v>
      </c>
      <c r="Y11" s="138">
        <f t="shared" ref="Y11:Y12" si="17">IF((P11="Terminé")*AND(E11="Communal"),N11,0)</f>
        <v>0</v>
      </c>
    </row>
    <row r="12" spans="1:25" s="139" customFormat="1" x14ac:dyDescent="0.25">
      <c r="A12" s="590" t="s">
        <v>245</v>
      </c>
      <c r="B12" s="565" t="str">
        <f>'ADO-11'!B$3:E$3</f>
        <v>Communication</v>
      </c>
      <c r="C12" s="419" t="str">
        <f>'ADO-11'!$B$8</f>
        <v>Citoyens</v>
      </c>
      <c r="D12" s="133" t="str">
        <f>'ADO-11'!$B$9</f>
        <v>Smart city</v>
      </c>
      <c r="E12" s="133" t="str">
        <f>'ADO-11'!$B$4</f>
        <v>Communal</v>
      </c>
      <c r="F12" s="133" t="str">
        <f>'ADO-11'!$B$12</f>
        <v>AC MESSANCY</v>
      </c>
      <c r="G12" s="133" t="str">
        <f>'ADO-11'!$B$6</f>
        <v>Fonds propres</v>
      </c>
      <c r="H12" s="134">
        <f>'ADO-11'!$B$17</f>
        <v>5000</v>
      </c>
      <c r="I12" s="133" t="str">
        <f>'ADO-11'!$B$7</f>
        <v>Néant</v>
      </c>
      <c r="J12" s="134">
        <f>'ADO-11'!$B$18</f>
        <v>0</v>
      </c>
      <c r="K12" s="134">
        <f>'ADO-11'!$B$21</f>
        <v>1</v>
      </c>
      <c r="L12" s="134">
        <f>'ADO-11'!$B$22</f>
        <v>0</v>
      </c>
      <c r="M12" s="135">
        <f>'ADO-11'!$B$24</f>
        <v>5000</v>
      </c>
      <c r="N12" s="135">
        <f>'ADO-11'!$B$20/1000</f>
        <v>0</v>
      </c>
      <c r="O12" s="136">
        <f t="shared" si="9"/>
        <v>0</v>
      </c>
      <c r="P12" s="137" t="str">
        <f>'ADO-11'!$B$5</f>
        <v>A faire</v>
      </c>
      <c r="Q12" s="140">
        <f>'ADO-11'!$B$16</f>
        <v>2022</v>
      </c>
      <c r="R12" s="283" t="str">
        <f t="shared" si="10"/>
        <v/>
      </c>
      <c r="S12" s="138">
        <f t="shared" si="11"/>
        <v>0</v>
      </c>
      <c r="T12" s="138">
        <f t="shared" si="12"/>
        <v>0</v>
      </c>
      <c r="U12" s="138">
        <f t="shared" si="13"/>
        <v>0</v>
      </c>
      <c r="V12" s="138">
        <f t="shared" si="14"/>
        <v>0</v>
      </c>
      <c r="W12" s="138">
        <f t="shared" si="15"/>
        <v>0</v>
      </c>
      <c r="X12" s="138">
        <f t="shared" si="16"/>
        <v>0</v>
      </c>
      <c r="Y12" s="138">
        <f t="shared" si="17"/>
        <v>0</v>
      </c>
    </row>
    <row r="13" spans="1:25" s="139" customFormat="1" x14ac:dyDescent="0.25">
      <c r="A13" s="370" t="s">
        <v>770</v>
      </c>
      <c r="B13" s="414" t="str">
        <f>'ADO-20'!B$3:E$3</f>
        <v>Mobilisation</v>
      </c>
      <c r="C13" s="419" t="str">
        <f>'ADO-20'!$B$8</f>
        <v>PAED</v>
      </c>
      <c r="D13" s="133" t="str">
        <f>'ADO-20'!$B$9</f>
        <v>Cellule Energie et Développement Durable</v>
      </c>
      <c r="E13" s="133" t="str">
        <f>'ADO-20'!$B$4</f>
        <v>Territoire</v>
      </c>
      <c r="F13" s="133" t="str">
        <f>'ADO-20'!$B$12</f>
        <v>AC MESSANCY</v>
      </c>
      <c r="G13" s="133" t="str">
        <f>'ADO-20'!$B$6</f>
        <v>Fonds propres</v>
      </c>
      <c r="H13" s="134">
        <f>'ADO-20'!$B$17</f>
        <v>83655</v>
      </c>
      <c r="I13" s="133" t="str">
        <f>'ADO-20'!$B$7</f>
        <v>Subs RW</v>
      </c>
      <c r="J13" s="134">
        <f>'ADO-20'!$B$18</f>
        <v>0</v>
      </c>
      <c r="K13" s="134">
        <f>'ADO-20'!$B$21</f>
        <v>1</v>
      </c>
      <c r="L13" s="134">
        <f>'ADO-20'!$B$22</f>
        <v>0</v>
      </c>
      <c r="M13" s="135">
        <f>'ADO-20'!$B$24</f>
        <v>83655</v>
      </c>
      <c r="N13" s="135">
        <f>'ADO-20'!$B$20/1000</f>
        <v>0</v>
      </c>
      <c r="O13" s="136">
        <f t="shared" si="0"/>
        <v>0</v>
      </c>
      <c r="P13" s="137" t="str">
        <f>'ADO-20'!$B$5</f>
        <v>Terminé</v>
      </c>
      <c r="Q13" s="140">
        <f>'ADO-20'!$B$16</f>
        <v>2030</v>
      </c>
      <c r="R13" s="283">
        <f t="shared" si="1"/>
        <v>0</v>
      </c>
      <c r="S13" s="138">
        <f>IF((P13="Terminé")*AND(E13="Territoire"),N13,0)</f>
        <v>0</v>
      </c>
      <c r="T13" s="138">
        <f t="shared" si="3"/>
        <v>0</v>
      </c>
      <c r="U13" s="138">
        <f t="shared" si="4"/>
        <v>0</v>
      </c>
      <c r="V13" s="138">
        <f t="shared" si="5"/>
        <v>0</v>
      </c>
      <c r="W13" s="138">
        <f t="shared" si="6"/>
        <v>0</v>
      </c>
      <c r="X13" s="138">
        <f t="shared" si="7"/>
        <v>0</v>
      </c>
      <c r="Y13" s="138">
        <f t="shared" si="8"/>
        <v>0</v>
      </c>
    </row>
    <row r="14" spans="1:25" s="139" customFormat="1" x14ac:dyDescent="0.25">
      <c r="A14" s="370" t="s">
        <v>771</v>
      </c>
      <c r="B14" s="414" t="str">
        <f>'ADO-21'!B$3:E$3</f>
        <v>Mobilisation</v>
      </c>
      <c r="C14" s="419" t="str">
        <f>'ADO-21'!$B$8</f>
        <v>PAED</v>
      </c>
      <c r="D14" s="133" t="str">
        <f>'ADO-21'!$B$9</f>
        <v>Comité de pilotage</v>
      </c>
      <c r="E14" s="133" t="str">
        <f>'ADO-21'!$B$4</f>
        <v>Territoire</v>
      </c>
      <c r="F14" s="133" t="str">
        <f>'ADO-21'!$B$12</f>
        <v>AC MESSANCY</v>
      </c>
      <c r="G14" s="133" t="str">
        <f>'ADO-21'!$B$6</f>
        <v>Néant</v>
      </c>
      <c r="H14" s="134">
        <f>'ADO-21'!$B$17</f>
        <v>0</v>
      </c>
      <c r="I14" s="133" t="str">
        <f>'ADO-21'!$B$7</f>
        <v>Néant</v>
      </c>
      <c r="J14" s="134">
        <f>'ADO-21'!$B$18</f>
        <v>0</v>
      </c>
      <c r="K14" s="134">
        <f>'ADO-21'!$B$21</f>
        <v>1</v>
      </c>
      <c r="L14" s="134">
        <f>'ADO-21'!$B$22</f>
        <v>0</v>
      </c>
      <c r="M14" s="135">
        <f>'ADO-21'!$B$24</f>
        <v>0</v>
      </c>
      <c r="N14" s="135">
        <f>'ADO-21'!$B$20/1000</f>
        <v>0</v>
      </c>
      <c r="O14" s="136">
        <f>IF(H14=0,0,N14/(H14-J14)*1000)</f>
        <v>0</v>
      </c>
      <c r="P14" s="137" t="str">
        <f>'ADO-21'!$B$5</f>
        <v>Terminé</v>
      </c>
      <c r="Q14" s="140">
        <f>'ADO-21'!$B$16</f>
        <v>2020</v>
      </c>
      <c r="R14" s="283">
        <f>IF(P14="terminé", N14,"")</f>
        <v>0</v>
      </c>
      <c r="S14" s="138">
        <f>IF((P14="Terminé")*AND(E14="Territoire"),N14,0)</f>
        <v>0</v>
      </c>
      <c r="T14" s="138">
        <f>IF((P14="Terminé")*AND(E14="Agriculture"),N14,0)</f>
        <v>0</v>
      </c>
      <c r="U14" s="138">
        <f>IF((P14="Terminé")*AND(E14="Industrie"), N14,0)</f>
        <v>0</v>
      </c>
      <c r="V14" s="138">
        <f>IF((P14="Terminé")*AND(E14="Logement"),N14,0)</f>
        <v>0</v>
      </c>
      <c r="W14" s="138">
        <f>IF((P14="Terminé")*AND(E14="Tertiaire"),N14,0)</f>
        <v>0</v>
      </c>
      <c r="X14" s="138">
        <f>IF((P14="Terminé")*AND(E14="Transport"),N14,0)</f>
        <v>0</v>
      </c>
      <c r="Y14" s="138">
        <f>IF((P14="Terminé")*AND(E14="Communal"),N14,0)</f>
        <v>0</v>
      </c>
    </row>
    <row r="15" spans="1:25" s="139" customFormat="1" x14ac:dyDescent="0.25">
      <c r="A15" s="370" t="s">
        <v>772</v>
      </c>
      <c r="B15" s="414" t="str">
        <f>'ADO-22'!B$3:E$3</f>
        <v>Mobilisation</v>
      </c>
      <c r="C15" s="419" t="str">
        <f>'ADO-22'!$B$8</f>
        <v>URE</v>
      </c>
      <c r="D15" s="133" t="str">
        <f>'ADO-22'!$B$9</f>
        <v>Sensibilisation URE - chaleur</v>
      </c>
      <c r="E15" s="133" t="str">
        <f>'ADO-22'!$B$4</f>
        <v>Logement</v>
      </c>
      <c r="F15" s="133" t="str">
        <f>'ADO-22'!$B$12</f>
        <v>Citoyen</v>
      </c>
      <c r="G15" s="133" t="str">
        <f>'ADO-22'!$B$6</f>
        <v>Néant</v>
      </c>
      <c r="H15" s="134">
        <f>'ADO-22'!$B$17</f>
        <v>0</v>
      </c>
      <c r="I15" s="133" t="str">
        <f>'ADO-22'!$B$7</f>
        <v>Néant</v>
      </c>
      <c r="J15" s="134">
        <f>'ADO-22'!$B$18</f>
        <v>0</v>
      </c>
      <c r="K15" s="134">
        <f>'ADO-22'!$B$21</f>
        <v>41173.582259478149</v>
      </c>
      <c r="L15" s="134">
        <f>'ADO-22'!$B$22</f>
        <v>0</v>
      </c>
      <c r="M15" s="135">
        <f>'ADO-22'!$B$24</f>
        <v>0</v>
      </c>
      <c r="N15" s="135">
        <f>'ADO-22'!$B$20/1000</f>
        <v>0</v>
      </c>
      <c r="O15" s="136">
        <f t="shared" ref="O15:O32" si="18">IF(H15=0,0,N15/(H15-J15)*1000)</f>
        <v>0</v>
      </c>
      <c r="P15" s="137" t="str">
        <f>'ADO-22'!$B$5</f>
        <v>A faire</v>
      </c>
      <c r="Q15" s="140">
        <f>'ADO-22'!$B$16</f>
        <v>2030</v>
      </c>
      <c r="R15" s="283" t="str">
        <f t="shared" ref="R15:R33" si="19">IF(P15="terminé", N15,"")</f>
        <v/>
      </c>
      <c r="S15" s="138">
        <f t="shared" ref="S15:S33" si="20">IF((P15="Terminé")*AND(E15="Territoire"),N15,0)</f>
        <v>0</v>
      </c>
      <c r="T15" s="138">
        <f t="shared" ref="T15:T33" si="21">IF((P15="Terminé")*AND(E15="Agriculture"),N15,0)</f>
        <v>0</v>
      </c>
      <c r="U15" s="138">
        <f t="shared" ref="U15:U33" si="22">IF((P15="Terminé")*AND(E15="Industrie"), N15,0)</f>
        <v>0</v>
      </c>
      <c r="V15" s="138">
        <f t="shared" ref="V15:V33" si="23">IF((P15="Terminé")*AND(E15="Logement"),N15,0)</f>
        <v>0</v>
      </c>
      <c r="W15" s="138">
        <f t="shared" ref="W15:W33" si="24">IF((P15="Terminé")*AND(E15="Tertiaire"),N15,0)</f>
        <v>0</v>
      </c>
      <c r="X15" s="138">
        <f t="shared" ref="X15:X33" si="25">IF((P15="Terminé")*AND(E15="Transport"),N15,0)</f>
        <v>0</v>
      </c>
      <c r="Y15" s="138">
        <f t="shared" ref="Y15:Y33" si="26">IF((P15="Terminé")*AND(E15="Communal"),N15,0)</f>
        <v>0</v>
      </c>
    </row>
    <row r="16" spans="1:25" s="139" customFormat="1" x14ac:dyDescent="0.25">
      <c r="A16" s="370" t="s">
        <v>773</v>
      </c>
      <c r="B16" s="414" t="str">
        <f>'ADO-23'!B$3:E$3</f>
        <v>Mobilisation</v>
      </c>
      <c r="C16" s="419" t="str">
        <f>'ADO-23'!$B$8</f>
        <v>URE</v>
      </c>
      <c r="D16" s="133" t="str">
        <f>'ADO-23'!$B$9</f>
        <v>Sensibilisation URE - électricité</v>
      </c>
      <c r="E16" s="133" t="str">
        <f>'ADO-23'!$B$4</f>
        <v>Logement</v>
      </c>
      <c r="F16" s="133" t="str">
        <f>'ADO-23'!$B$12</f>
        <v>Citoyen</v>
      </c>
      <c r="G16" s="133" t="str">
        <f>'ADO-23'!$B$6</f>
        <v>Néant</v>
      </c>
      <c r="H16" s="134">
        <f>'ADO-23'!$B$17</f>
        <v>0</v>
      </c>
      <c r="I16" s="133" t="str">
        <f>'ADO-23'!$B$7</f>
        <v>Néant</v>
      </c>
      <c r="J16" s="134">
        <f>'ADO-23'!$B$18</f>
        <v>0</v>
      </c>
      <c r="K16" s="134">
        <f>'ADO-23'!$B$21</f>
        <v>46007.485345811321</v>
      </c>
      <c r="L16" s="134">
        <f>'ADO-23'!$B$22</f>
        <v>0</v>
      </c>
      <c r="M16" s="135">
        <f>'ADO-23'!$B$24</f>
        <v>0</v>
      </c>
      <c r="N16" s="135">
        <f>'ADO-23'!$B$20/1000</f>
        <v>0</v>
      </c>
      <c r="O16" s="136">
        <f t="shared" si="18"/>
        <v>0</v>
      </c>
      <c r="P16" s="137" t="str">
        <f>'ADO-23'!$B$5</f>
        <v>A faire</v>
      </c>
      <c r="Q16" s="140">
        <f>'ADO-23'!$B$16</f>
        <v>2030</v>
      </c>
      <c r="R16" s="283" t="str">
        <f t="shared" si="19"/>
        <v/>
      </c>
      <c r="S16" s="138">
        <f t="shared" si="20"/>
        <v>0</v>
      </c>
      <c r="T16" s="138">
        <f t="shared" si="21"/>
        <v>0</v>
      </c>
      <c r="U16" s="138">
        <f t="shared" si="22"/>
        <v>0</v>
      </c>
      <c r="V16" s="138">
        <f t="shared" si="23"/>
        <v>0</v>
      </c>
      <c r="W16" s="138">
        <f t="shared" si="24"/>
        <v>0</v>
      </c>
      <c r="X16" s="138">
        <f t="shared" si="25"/>
        <v>0</v>
      </c>
      <c r="Y16" s="138">
        <f t="shared" si="26"/>
        <v>0</v>
      </c>
    </row>
    <row r="17" spans="1:25" s="139" customFormat="1" x14ac:dyDescent="0.25">
      <c r="A17" s="370" t="s">
        <v>774</v>
      </c>
      <c r="B17" s="414" t="str">
        <f>'ADO-24'!B$3:E$3</f>
        <v>Mobilisation</v>
      </c>
      <c r="C17" s="419" t="str">
        <f>'ADO-24'!$B$8</f>
        <v>Grand public</v>
      </c>
      <c r="D17" s="133" t="str">
        <f>'ADO-24'!$B$9</f>
        <v xml:space="preserve">Evènement </v>
      </c>
      <c r="E17" s="133" t="str">
        <f>'ADO-24'!$B$4</f>
        <v>Territoire</v>
      </c>
      <c r="F17" s="133" t="str">
        <f>'ADO-24'!$B$12</f>
        <v>AC MESSANCY</v>
      </c>
      <c r="G17" s="133" t="str">
        <f>'ADO-24'!$B$6</f>
        <v>Sponsoring</v>
      </c>
      <c r="H17" s="134">
        <f>'ADO-24'!$B$17</f>
        <v>5000</v>
      </c>
      <c r="I17" s="133" t="str">
        <f>'ADO-24'!$B$7</f>
        <v>Néant</v>
      </c>
      <c r="J17" s="134">
        <f>'ADO-24'!$B$18</f>
        <v>0</v>
      </c>
      <c r="K17" s="134">
        <f>'ADO-24'!$B$21</f>
        <v>1</v>
      </c>
      <c r="L17" s="134">
        <f>'ADO-24'!$B$22</f>
        <v>0</v>
      </c>
      <c r="M17" s="135">
        <f>'ADO-24'!$B$24</f>
        <v>5000</v>
      </c>
      <c r="N17" s="135">
        <f>'ADO-24'!$B20/1000</f>
        <v>0</v>
      </c>
      <c r="O17" s="136">
        <f t="shared" si="18"/>
        <v>0</v>
      </c>
      <c r="P17" s="137" t="str">
        <f>'ADO-24'!$B$5</f>
        <v>A faire</v>
      </c>
      <c r="Q17" s="140">
        <f>'ADO-24'!$B$16</f>
        <v>2022</v>
      </c>
      <c r="R17" s="283" t="str">
        <f t="shared" si="19"/>
        <v/>
      </c>
      <c r="S17" s="138">
        <f t="shared" si="20"/>
        <v>0</v>
      </c>
      <c r="T17" s="138">
        <f t="shared" si="21"/>
        <v>0</v>
      </c>
      <c r="U17" s="138">
        <f t="shared" si="22"/>
        <v>0</v>
      </c>
      <c r="V17" s="138">
        <f t="shared" si="23"/>
        <v>0</v>
      </c>
      <c r="W17" s="138">
        <f t="shared" si="24"/>
        <v>0</v>
      </c>
      <c r="X17" s="138">
        <f t="shared" si="25"/>
        <v>0</v>
      </c>
      <c r="Y17" s="138">
        <f t="shared" si="26"/>
        <v>0</v>
      </c>
    </row>
    <row r="18" spans="1:25" s="139" customFormat="1" x14ac:dyDescent="0.25">
      <c r="A18" s="370" t="s">
        <v>775</v>
      </c>
      <c r="B18" s="414" t="str">
        <f>'ADO-25'!B$3:E$3</f>
        <v>Mobilisation</v>
      </c>
      <c r="C18" s="419" t="str">
        <f>'ADO-25'!$B$8</f>
        <v>Grand public</v>
      </c>
      <c r="D18" s="133" t="str">
        <f>'ADO-25'!$B$9</f>
        <v>Evènement festif Supra communal</v>
      </c>
      <c r="E18" s="133" t="str">
        <f>'ADO-25'!$B$4</f>
        <v>Territoire</v>
      </c>
      <c r="F18" s="133" t="str">
        <f>'ADO-25'!$B$12</f>
        <v>AC MESSANCY</v>
      </c>
      <c r="G18" s="133" t="str">
        <f>'ADO-25'!$B$6</f>
        <v>Sponsoring</v>
      </c>
      <c r="H18" s="134">
        <f>'ADO-25'!$B$17</f>
        <v>5000</v>
      </c>
      <c r="I18" s="133" t="str">
        <f>'ADO-25'!$B$7</f>
        <v>Néant</v>
      </c>
      <c r="J18" s="134">
        <f>'ADO-25'!$B$18</f>
        <v>0</v>
      </c>
      <c r="K18" s="134">
        <f>'ADO-25'!$B$21</f>
        <v>1</v>
      </c>
      <c r="L18" s="134">
        <f>'ADO-25'!$B$22</f>
        <v>0</v>
      </c>
      <c r="M18" s="135">
        <f>'ADO-25'!$B$24</f>
        <v>5000</v>
      </c>
      <c r="N18" s="135">
        <f>'ADO-25'!$B20/1000</f>
        <v>0</v>
      </c>
      <c r="O18" s="136">
        <f t="shared" si="18"/>
        <v>0</v>
      </c>
      <c r="P18" s="137" t="str">
        <f>'ADO-25'!$B$5</f>
        <v>A faire</v>
      </c>
      <c r="Q18" s="140">
        <f>'ADO-25'!$B$16</f>
        <v>2025</v>
      </c>
      <c r="R18" s="283" t="str">
        <f t="shared" si="19"/>
        <v/>
      </c>
      <c r="S18" s="138">
        <f t="shared" si="20"/>
        <v>0</v>
      </c>
      <c r="T18" s="138">
        <f t="shared" si="21"/>
        <v>0</v>
      </c>
      <c r="U18" s="138">
        <f t="shared" si="22"/>
        <v>0</v>
      </c>
      <c r="V18" s="138">
        <f t="shared" si="23"/>
        <v>0</v>
      </c>
      <c r="W18" s="138">
        <f t="shared" si="24"/>
        <v>0</v>
      </c>
      <c r="X18" s="138">
        <f t="shared" si="25"/>
        <v>0</v>
      </c>
      <c r="Y18" s="138">
        <f t="shared" si="26"/>
        <v>0</v>
      </c>
    </row>
    <row r="19" spans="1:25" s="139" customFormat="1" x14ac:dyDescent="0.25">
      <c r="A19" s="370" t="s">
        <v>776</v>
      </c>
      <c r="B19" s="414" t="str">
        <f>'ADO-26'!B$3:E$3</f>
        <v>Mobilisation</v>
      </c>
      <c r="C19" s="419" t="str">
        <f>'ADO-26'!$B$8</f>
        <v>Centrale d'achat</v>
      </c>
      <c r="D19" s="133" t="str">
        <f>'ADO-26'!$B$9</f>
        <v>Centrale d'achat</v>
      </c>
      <c r="E19" s="133" t="str">
        <f>'ADO-26'!$B$4</f>
        <v>Territoire</v>
      </c>
      <c r="F19" s="133" t="str">
        <f>'ADO-26'!$B$12</f>
        <v>AC MESSANCY</v>
      </c>
      <c r="G19" s="133" t="str">
        <f>'ADO-26'!$B$6</f>
        <v>Néant</v>
      </c>
      <c r="H19" s="134">
        <f>'ADO-26'!$B$17</f>
        <v>2000</v>
      </c>
      <c r="I19" s="133" t="str">
        <f>'ADO-26'!$B$7</f>
        <v>Néant</v>
      </c>
      <c r="J19" s="134">
        <f>'ADO-26'!$B$18</f>
        <v>0</v>
      </c>
      <c r="K19" s="134">
        <f>'ADO-26'!$B$21</f>
        <v>1</v>
      </c>
      <c r="L19" s="134">
        <f>'ADO-26'!$B$22</f>
        <v>0</v>
      </c>
      <c r="M19" s="135">
        <f>'ADO-26'!$B$24</f>
        <v>2000</v>
      </c>
      <c r="N19" s="135">
        <f>'ADO-26'!$B$20/1000</f>
        <v>0</v>
      </c>
      <c r="O19" s="136">
        <f t="shared" si="18"/>
        <v>0</v>
      </c>
      <c r="P19" s="137" t="str">
        <f>'ADO-26'!$B$5</f>
        <v>A faire</v>
      </c>
      <c r="Q19" s="140">
        <f>'ADO-26'!$B$16</f>
        <v>2030</v>
      </c>
      <c r="R19" s="283" t="str">
        <f t="shared" si="19"/>
        <v/>
      </c>
      <c r="S19" s="138">
        <f t="shared" si="20"/>
        <v>0</v>
      </c>
      <c r="T19" s="138">
        <f t="shared" si="21"/>
        <v>0</v>
      </c>
      <c r="U19" s="138">
        <f t="shared" si="22"/>
        <v>0</v>
      </c>
      <c r="V19" s="138">
        <f t="shared" si="23"/>
        <v>0</v>
      </c>
      <c r="W19" s="138">
        <f t="shared" si="24"/>
        <v>0</v>
      </c>
      <c r="X19" s="138">
        <f t="shared" si="25"/>
        <v>0</v>
      </c>
      <c r="Y19" s="138">
        <f t="shared" si="26"/>
        <v>0</v>
      </c>
    </row>
    <row r="20" spans="1:25" s="139" customFormat="1" x14ac:dyDescent="0.25">
      <c r="A20" s="370" t="s">
        <v>777</v>
      </c>
      <c r="B20" s="414" t="str">
        <f>'ADO-27'!B$3:E$3</f>
        <v>Mobilisation</v>
      </c>
      <c r="C20" s="419" t="str">
        <f>'ADO-27'!$B$8</f>
        <v>Tous publics</v>
      </c>
      <c r="D20" s="133" t="str">
        <f>'ADO-27'!$B$9</f>
        <v>Analyse thermographique</v>
      </c>
      <c r="E20" s="133" t="str">
        <f>'ADO-27'!$B$4</f>
        <v>Communal</v>
      </c>
      <c r="F20" s="133" t="str">
        <f>'ADO-27'!$B$12</f>
        <v>AC MESSANCY</v>
      </c>
      <c r="G20" s="133" t="str">
        <f>'ADO-27'!$B$6</f>
        <v>Fonds propres</v>
      </c>
      <c r="H20" s="134">
        <f>'ADO-27'!$B$17</f>
        <v>25000</v>
      </c>
      <c r="I20" s="133" t="str">
        <f>'ADO-27'!$B$7</f>
        <v>Néant</v>
      </c>
      <c r="J20" s="134">
        <f>'ADO-27'!$B$18</f>
        <v>0</v>
      </c>
      <c r="K20" s="134">
        <f>'ADO-27'!$B$21</f>
        <v>1</v>
      </c>
      <c r="L20" s="134">
        <f>'ADO-27'!$B$22</f>
        <v>0</v>
      </c>
      <c r="M20" s="135">
        <f>'ADO-27'!$B$24</f>
        <v>25000</v>
      </c>
      <c r="N20" s="135">
        <f>'ADO-27'!$B$20/1000</f>
        <v>0</v>
      </c>
      <c r="O20" s="136">
        <f t="shared" si="18"/>
        <v>0</v>
      </c>
      <c r="P20" s="137" t="str">
        <f>'ADO-27'!$B$5</f>
        <v>A faire</v>
      </c>
      <c r="Q20" s="140">
        <f>'ADO-27'!$B$16</f>
        <v>2030</v>
      </c>
      <c r="R20" s="283" t="str">
        <f t="shared" si="19"/>
        <v/>
      </c>
      <c r="S20" s="138">
        <f t="shared" si="20"/>
        <v>0</v>
      </c>
      <c r="T20" s="138">
        <f t="shared" si="21"/>
        <v>0</v>
      </c>
      <c r="U20" s="138">
        <f t="shared" si="22"/>
        <v>0</v>
      </c>
      <c r="V20" s="138">
        <f t="shared" si="23"/>
        <v>0</v>
      </c>
      <c r="W20" s="138">
        <f t="shared" si="24"/>
        <v>0</v>
      </c>
      <c r="X20" s="138">
        <f t="shared" si="25"/>
        <v>0</v>
      </c>
      <c r="Y20" s="138">
        <f t="shared" si="26"/>
        <v>0</v>
      </c>
    </row>
    <row r="21" spans="1:25" s="139" customFormat="1" x14ac:dyDescent="0.25">
      <c r="A21" s="370" t="s">
        <v>778</v>
      </c>
      <c r="B21" s="414" t="str">
        <f>'ADO-28'!B$3:E$3</f>
        <v>Mobilisation</v>
      </c>
      <c r="C21" s="419" t="str">
        <f>'ADO-28'!$B$8</f>
        <v>Grand public</v>
      </c>
      <c r="D21" s="133" t="str">
        <f>'ADO-28'!$B$9</f>
        <v>Incitant à la contribution au PAED</v>
      </c>
      <c r="E21" s="133" t="str">
        <f>'ADO-28'!$B$4</f>
        <v>Territoire</v>
      </c>
      <c r="F21" s="133" t="str">
        <f>'ADO-28'!$B$12</f>
        <v>AC MESSANCY</v>
      </c>
      <c r="G21" s="133" t="str">
        <f>'ADO-28'!$B$6</f>
        <v>Fonds propres</v>
      </c>
      <c r="H21" s="134">
        <f>'ADO-28'!$B$17</f>
        <v>97410</v>
      </c>
      <c r="I21" s="133" t="str">
        <f>'ADO-28'!$B$7</f>
        <v>Subs RW</v>
      </c>
      <c r="J21" s="134">
        <f>'ADO-28'!$B$18</f>
        <v>0</v>
      </c>
      <c r="K21" s="134">
        <f>'ADO-28'!$B$21</f>
        <v>1</v>
      </c>
      <c r="L21" s="134">
        <f>'ADO-28'!$B$22</f>
        <v>0</v>
      </c>
      <c r="M21" s="135">
        <f>'ADO-28'!$B$24</f>
        <v>97410</v>
      </c>
      <c r="N21" s="135">
        <f>'ADO-28'!$B$20/1000</f>
        <v>0</v>
      </c>
      <c r="O21" s="136">
        <f t="shared" si="18"/>
        <v>0</v>
      </c>
      <c r="P21" s="137" t="str">
        <f>'ADO-28'!$B$5</f>
        <v>A faire</v>
      </c>
      <c r="Q21" s="140">
        <f>'ADO-28'!$B$16</f>
        <v>2030</v>
      </c>
      <c r="R21" s="283" t="str">
        <f t="shared" si="19"/>
        <v/>
      </c>
      <c r="S21" s="138">
        <f t="shared" si="20"/>
        <v>0</v>
      </c>
      <c r="T21" s="138">
        <f t="shared" si="21"/>
        <v>0</v>
      </c>
      <c r="U21" s="138">
        <f t="shared" si="22"/>
        <v>0</v>
      </c>
      <c r="V21" s="138">
        <f t="shared" si="23"/>
        <v>0</v>
      </c>
      <c r="W21" s="138">
        <f t="shared" si="24"/>
        <v>0</v>
      </c>
      <c r="X21" s="138">
        <f t="shared" si="25"/>
        <v>0</v>
      </c>
      <c r="Y21" s="138">
        <f t="shared" si="26"/>
        <v>0</v>
      </c>
    </row>
    <row r="22" spans="1:25" s="139" customFormat="1" x14ac:dyDescent="0.25">
      <c r="A22" s="370" t="s">
        <v>867</v>
      </c>
      <c r="B22" s="481" t="str">
        <f>'ADO-29'!B$3:E$3</f>
        <v>Mobilisation</v>
      </c>
      <c r="C22" s="419" t="str">
        <f>'ADO-29'!$B$8</f>
        <v>Personnel communal</v>
      </c>
      <c r="D22" s="133" t="str">
        <f>'ADO-29'!$B$9</f>
        <v xml:space="preserve">Actions URE </v>
      </c>
      <c r="E22" s="133" t="str">
        <f>'ADO-29'!$B$4</f>
        <v>Territoire</v>
      </c>
      <c r="F22" s="133" t="str">
        <f>'ADO-29'!$B$12</f>
        <v>AC MESSANCY</v>
      </c>
      <c r="G22" s="133" t="str">
        <f>'ADO-29'!$B$6</f>
        <v>Fonds propres</v>
      </c>
      <c r="H22" s="134">
        <f>'ADO-29'!$B$17</f>
        <v>2000</v>
      </c>
      <c r="I22" s="133" t="str">
        <f>'ADO-29'!$B$7</f>
        <v>Subs RW</v>
      </c>
      <c r="J22" s="134">
        <f>'ADO-28'!$B$18</f>
        <v>0</v>
      </c>
      <c r="K22" s="134">
        <f>'ADO-29'!$B$21</f>
        <v>279.60000000000002</v>
      </c>
      <c r="L22" s="134">
        <f>'ADO-29'!$B$22</f>
        <v>0</v>
      </c>
      <c r="M22" s="135">
        <f>'ADO-29'!$B$24</f>
        <v>7.1530758226037188</v>
      </c>
      <c r="N22" s="135">
        <f>'ADO-29'!$B$20/1000</f>
        <v>0</v>
      </c>
      <c r="O22" s="136">
        <f>IF(H22=0,0,N22/(H22-J22)*1000)</f>
        <v>0</v>
      </c>
      <c r="P22" s="137" t="str">
        <f>'ADO-29'!$B$5</f>
        <v>A faire</v>
      </c>
      <c r="Q22" s="140">
        <f>'ADO-29'!$B$16</f>
        <v>2030</v>
      </c>
      <c r="R22" s="283" t="str">
        <f>IF(P22="terminé", N22,"")</f>
        <v/>
      </c>
      <c r="S22" s="138">
        <f>IF((P22="Terminé")*AND(E22="Territoire"),N22,0)</f>
        <v>0</v>
      </c>
      <c r="T22" s="138">
        <f>IF((P22="Terminé")*AND(E22="Agriculture"),N22,0)</f>
        <v>0</v>
      </c>
      <c r="U22" s="138">
        <f>IF((P22="Terminé")*AND(E22="Industrie"), N22,0)</f>
        <v>0</v>
      </c>
      <c r="V22" s="138">
        <f>IF((P22="Terminé")*AND(E22="Logement"),N22,0)</f>
        <v>0</v>
      </c>
      <c r="W22" s="138">
        <f>IF((P22="Terminé")*AND(E22="Tertiaire"),N22,0)</f>
        <v>0</v>
      </c>
      <c r="X22" s="138">
        <f>IF((P22="Terminé")*AND(E22="Transport"),N22,0)</f>
        <v>0</v>
      </c>
      <c r="Y22" s="138">
        <f>IF((P22="Terminé")*AND(E22="Communal"),N22,0)</f>
        <v>0</v>
      </c>
    </row>
    <row r="23" spans="1:25" s="139" customFormat="1" x14ac:dyDescent="0.25">
      <c r="A23" s="370" t="s">
        <v>868</v>
      </c>
      <c r="B23" s="481" t="str">
        <f>'ADO-30'!B$3:E$3</f>
        <v>Mobilisation</v>
      </c>
      <c r="C23" s="419" t="str">
        <f>'ADO-30'!$B$8</f>
        <v>Grand public</v>
      </c>
      <c r="D23" s="133" t="str">
        <f>'ADO-30'!$B$9</f>
        <v xml:space="preserve">Groupes pilotes </v>
      </c>
      <c r="E23" s="133" t="str">
        <f>'ADO-30'!$B$4</f>
        <v>Territoire</v>
      </c>
      <c r="F23" s="133" t="str">
        <f>'ADO-30'!$B$12</f>
        <v>AC MESSANCY</v>
      </c>
      <c r="G23" s="133" t="str">
        <f>'ADO-30'!$B$6</f>
        <v>Fonds propres</v>
      </c>
      <c r="H23" s="134">
        <f>'ADO-30'!$B$17</f>
        <v>2000</v>
      </c>
      <c r="I23" s="133" t="str">
        <f>'ADO-30'!$B$7</f>
        <v>Subs RW</v>
      </c>
      <c r="J23" s="134">
        <f>'ADO-30'!$B$18</f>
        <v>0</v>
      </c>
      <c r="K23" s="134">
        <f>'ADO-30'!$B$21</f>
        <v>1</v>
      </c>
      <c r="L23" s="134">
        <f>'ADO-30'!$B$22</f>
        <v>0</v>
      </c>
      <c r="M23" s="135">
        <f>'ADO-30'!$B$24</f>
        <v>2000</v>
      </c>
      <c r="N23" s="135">
        <f>'ADO-30'!$B$20/1000</f>
        <v>0</v>
      </c>
      <c r="O23" s="136">
        <f>IF(H23=0,0,N23/(H23-J23)*1000)</f>
        <v>0</v>
      </c>
      <c r="P23" s="137" t="str">
        <f>'ADO-30'!$B$5</f>
        <v>A faire</v>
      </c>
      <c r="Q23" s="140">
        <f>'ADO-30'!$B$16</f>
        <v>2021</v>
      </c>
      <c r="R23" s="283" t="str">
        <f>IF(P23="terminé", N23,"")</f>
        <v/>
      </c>
      <c r="S23" s="138">
        <f>IF((P23="Terminé")*AND(E23="Territoire"),N23,0)</f>
        <v>0</v>
      </c>
      <c r="T23" s="138">
        <f>IF((P23="Terminé")*AND(E23="Agriculture"),N23,0)</f>
        <v>0</v>
      </c>
      <c r="U23" s="138">
        <f>IF((P23="Terminé")*AND(E23="Industrie"), N23,0)</f>
        <v>0</v>
      </c>
      <c r="V23" s="138">
        <f>IF((P23="Terminé")*AND(E23="Logement"),N23,0)</f>
        <v>0</v>
      </c>
      <c r="W23" s="138">
        <f>IF((P23="Terminé")*AND(E23="Tertiaire"),N23,0)</f>
        <v>0</v>
      </c>
      <c r="X23" s="138">
        <f>IF((P23="Terminé")*AND(E23="Transport"),N23,0)</f>
        <v>0</v>
      </c>
      <c r="Y23" s="138">
        <f>IF((P23="Terminé")*AND(E23="Communal"),N23,0)</f>
        <v>0</v>
      </c>
    </row>
    <row r="24" spans="1:25" s="139" customFormat="1" x14ac:dyDescent="0.25">
      <c r="A24" s="370" t="s">
        <v>869</v>
      </c>
      <c r="B24" s="481" t="str">
        <f>'ADO-31'!B$3:E$3</f>
        <v>Mobilisation</v>
      </c>
      <c r="C24" s="419">
        <f>'ADO-31'!$B$8</f>
        <v>0</v>
      </c>
      <c r="D24" s="133">
        <f>'ADO-31'!$B$9</f>
        <v>0</v>
      </c>
      <c r="E24" s="133" t="str">
        <f>'ADO-31'!$B$4</f>
        <v>Territoire</v>
      </c>
      <c r="F24" s="133">
        <f>'ADO-31'!$B$12</f>
        <v>0</v>
      </c>
      <c r="G24" s="133" t="str">
        <f>'ADO-31'!$B$6</f>
        <v>Néant</v>
      </c>
      <c r="H24" s="134">
        <f>'ADO-31'!$B$17</f>
        <v>0</v>
      </c>
      <c r="I24" s="133" t="str">
        <f>'ADO-31'!$B$7</f>
        <v>Néant</v>
      </c>
      <c r="J24" s="134">
        <f>'ADO-31'!$B$18</f>
        <v>0</v>
      </c>
      <c r="K24" s="134">
        <f>'ADO-31'!$B$21</f>
        <v>1</v>
      </c>
      <c r="L24" s="134">
        <f>'ADO-31'!$B$22</f>
        <v>0</v>
      </c>
      <c r="M24" s="135">
        <f>'ADO-31'!$B$24</f>
        <v>0</v>
      </c>
      <c r="N24" s="135">
        <f>'ADO-31'!$B$20/1000</f>
        <v>0</v>
      </c>
      <c r="O24" s="136">
        <f>IF(H24=0,0,N24/(H24-J24)*1000)</f>
        <v>0</v>
      </c>
      <c r="P24" s="137" t="str">
        <f>'ADO-31'!$B$5</f>
        <v>Ne pas réaliser</v>
      </c>
      <c r="Q24" s="140">
        <f>'ADO-31'!$B$16</f>
        <v>0</v>
      </c>
      <c r="R24" s="283" t="str">
        <f>IF(P24="terminé", N24,"")</f>
        <v/>
      </c>
      <c r="S24" s="138">
        <f>IF((P24="Terminé")*AND(E24="Territoire"),N24,0)</f>
        <v>0</v>
      </c>
      <c r="T24" s="138">
        <f>IF((P24="Terminé")*AND(E24="Agriculture"),N24,0)</f>
        <v>0</v>
      </c>
      <c r="U24" s="138">
        <f>IF((P24="Terminé")*AND(E24="Industrie"), N24,0)</f>
        <v>0</v>
      </c>
      <c r="V24" s="138">
        <f>IF((P24="Terminé")*AND(E24="Logement"),N24,0)</f>
        <v>0</v>
      </c>
      <c r="W24" s="138">
        <f>IF((P24="Terminé")*AND(E24="Tertiaire"),N24,0)</f>
        <v>0</v>
      </c>
      <c r="X24" s="138">
        <f>IF((P24="Terminé")*AND(E24="Transport"),N24,0)</f>
        <v>0</v>
      </c>
      <c r="Y24" s="138">
        <f>IF((P24="Terminé")*AND(E24="Communal"),N24,0)</f>
        <v>0</v>
      </c>
    </row>
    <row r="25" spans="1:25" s="139" customFormat="1" x14ac:dyDescent="0.25">
      <c r="A25" s="370" t="s">
        <v>870</v>
      </c>
      <c r="B25" s="481" t="str">
        <f>'ADO-32'!B$3:E$3</f>
        <v>Mobilisation</v>
      </c>
      <c r="C25" s="419" t="str">
        <f>'ADO-32'!$B$8</f>
        <v>Logement</v>
      </c>
      <c r="D25" s="133" t="str">
        <f>'ADO-32'!$B$9</f>
        <v>Renov'Energie</v>
      </c>
      <c r="E25" s="133" t="str">
        <f>'ADO-32'!$B$4</f>
        <v>Territoire</v>
      </c>
      <c r="F25" s="133" t="str">
        <f>'ADO-32'!$B$12</f>
        <v>AC MESSANCY</v>
      </c>
      <c r="G25" s="133" t="str">
        <f>'ADO-32'!$B$6</f>
        <v>Fonds propres</v>
      </c>
      <c r="H25" s="134">
        <f>'ADO-32'!$B$17</f>
        <v>27000</v>
      </c>
      <c r="I25" s="133" t="str">
        <f>'ADO-32'!$B$7</f>
        <v>Néant</v>
      </c>
      <c r="J25" s="134">
        <f>'ADO-32'!$B$18</f>
        <v>0</v>
      </c>
      <c r="K25" s="134">
        <f>'ADO-32'!$B$21</f>
        <v>1</v>
      </c>
      <c r="L25" s="134">
        <f>'ADO-32'!$B$22</f>
        <v>0</v>
      </c>
      <c r="M25" s="135">
        <f>'ADO-32'!$B$24</f>
        <v>27000</v>
      </c>
      <c r="N25" s="135">
        <f>'ADO-32'!$B$20/1000</f>
        <v>0</v>
      </c>
      <c r="O25" s="136">
        <f>IF(H25=0,0,N25/(H25-J25)*1000)</f>
        <v>0</v>
      </c>
      <c r="P25" s="137" t="str">
        <f>'ADO-32'!$B$5</f>
        <v>A faire</v>
      </c>
      <c r="Q25" s="140">
        <f>'ADO-32'!$B$16</f>
        <v>2023</v>
      </c>
      <c r="R25" s="283" t="str">
        <f>IF(P25="terminé", N25,"")</f>
        <v/>
      </c>
      <c r="S25" s="138">
        <f>IF((P25="Terminé")*AND(E25="Territoire"),N25,0)</f>
        <v>0</v>
      </c>
      <c r="T25" s="138">
        <f>IF((P25="Terminé")*AND(E25="Agriculture"),N25,0)</f>
        <v>0</v>
      </c>
      <c r="U25" s="138">
        <f>IF((P25="Terminé")*AND(E25="Industrie"), N25,0)</f>
        <v>0</v>
      </c>
      <c r="V25" s="138">
        <f>IF((P25="Terminé")*AND(E25="Logement"),N25,0)</f>
        <v>0</v>
      </c>
      <c r="W25" s="138">
        <f>IF((P25="Terminé")*AND(E25="Tertiaire"),N25,0)</f>
        <v>0</v>
      </c>
      <c r="X25" s="138">
        <f>IF((P25="Terminé")*AND(E25="Transport"),N25,0)</f>
        <v>0</v>
      </c>
      <c r="Y25" s="138">
        <f>IF((P25="Terminé")*AND(E25="Communal"),N25,0)</f>
        <v>0</v>
      </c>
    </row>
    <row r="26" spans="1:25" s="139" customFormat="1" x14ac:dyDescent="0.25">
      <c r="A26" s="370" t="s">
        <v>871</v>
      </c>
      <c r="B26" s="481" t="str">
        <f>'ADO-33'!B$3:E$3</f>
        <v>Mobilisation</v>
      </c>
      <c r="C26" s="419" t="str">
        <f>'ADO-33'!$B$8</f>
        <v>Secteur touristique</v>
      </c>
      <c r="D26" s="133" t="str">
        <f>'ADO-33'!$B$9</f>
        <v>Sensibilisation du secteur touristique</v>
      </c>
      <c r="E26" s="133" t="str">
        <f>'ADO-33'!$B$4</f>
        <v>Territoire</v>
      </c>
      <c r="F26" s="133" t="str">
        <f>'ADO-33'!$B$12</f>
        <v>AC MESSANCY</v>
      </c>
      <c r="G26" s="133" t="str">
        <f>'ADO-33'!$B$6</f>
        <v>Fonds propres</v>
      </c>
      <c r="H26" s="134">
        <f>'ADO-33'!$B$17</f>
        <v>5000</v>
      </c>
      <c r="I26" s="133" t="str">
        <f>'ADO-33'!$B$7</f>
        <v>Subs RW</v>
      </c>
      <c r="J26" s="134">
        <f>'ADO-33'!$B$18</f>
        <v>0</v>
      </c>
      <c r="K26" s="134">
        <f>'ADO-33'!$B$21</f>
        <v>1</v>
      </c>
      <c r="L26" s="134">
        <f>'ADO-33'!$B$22</f>
        <v>0</v>
      </c>
      <c r="M26" s="135">
        <f>'ADO-33'!$B$24</f>
        <v>5000</v>
      </c>
      <c r="N26" s="135">
        <f>'ADO-33'!$B$20/1000</f>
        <v>0</v>
      </c>
      <c r="O26" s="136">
        <f>IF(H26=0,0,N26/(H26-J26)*1000)</f>
        <v>0</v>
      </c>
      <c r="P26" s="137" t="str">
        <f>'ADO-33'!$B$5</f>
        <v>A investiguer</v>
      </c>
      <c r="Q26" s="140">
        <f>'ADO-33'!$B$16</f>
        <v>2025</v>
      </c>
      <c r="R26" s="283" t="str">
        <f>IF(P26="terminé", N26,"")</f>
        <v/>
      </c>
      <c r="S26" s="138">
        <f>IF((P26="Terminé")*AND(E26="Territoire"),N26,0)</f>
        <v>0</v>
      </c>
      <c r="T26" s="138">
        <f>IF((P26="Terminé")*AND(E26="Agriculture"),N26,0)</f>
        <v>0</v>
      </c>
      <c r="U26" s="138">
        <f>IF((P26="Terminé")*AND(E26="Industrie"), N26,0)</f>
        <v>0</v>
      </c>
      <c r="V26" s="138">
        <f>IF((P26="Terminé")*AND(E26="Logement"),N26,0)</f>
        <v>0</v>
      </c>
      <c r="W26" s="138">
        <f>IF((P26="Terminé")*AND(E26="Tertiaire"),N26,0)</f>
        <v>0</v>
      </c>
      <c r="X26" s="138">
        <f>IF((P26="Terminé")*AND(E26="Transport"),N26,0)</f>
        <v>0</v>
      </c>
      <c r="Y26" s="138">
        <f>IF((P26="Terminé")*AND(E26="Communal"),N26,0)</f>
        <v>0</v>
      </c>
    </row>
    <row r="27" spans="1:25" s="139" customFormat="1" x14ac:dyDescent="0.25">
      <c r="A27" s="370" t="s">
        <v>987</v>
      </c>
      <c r="B27" s="565" t="str">
        <f>'ADO-34'!B$3:E$3</f>
        <v>Mobilisation</v>
      </c>
      <c r="C27" s="419" t="str">
        <f>'ADO-34'!$B$8</f>
        <v>Publics précarisés</v>
      </c>
      <c r="D27" s="133" t="str">
        <f>'ADO-34'!$B$9</f>
        <v>Moyens d'actions</v>
      </c>
      <c r="E27" s="133" t="str">
        <f>'ADO-34'!$B$4</f>
        <v>Logement</v>
      </c>
      <c r="F27" s="133" t="str">
        <f>'ADO-34'!$B$12</f>
        <v>AC MESSANCY</v>
      </c>
      <c r="G27" s="133" t="str">
        <f>'ADO-34'!$B$6</f>
        <v>Néant</v>
      </c>
      <c r="H27" s="134">
        <f>'ADO-34'!$B$17</f>
        <v>0</v>
      </c>
      <c r="I27" s="133" t="str">
        <f>'ADO-34'!$B$7</f>
        <v>Néant</v>
      </c>
      <c r="J27" s="134">
        <f>'ADO-34'!$B$18</f>
        <v>0</v>
      </c>
      <c r="K27" s="134">
        <f>'ADO-34'!$B$21</f>
        <v>1</v>
      </c>
      <c r="L27" s="134">
        <f>'ADO-34'!$B$22</f>
        <v>0</v>
      </c>
      <c r="M27" s="135">
        <f>'ADO-34'!$B$24</f>
        <v>0</v>
      </c>
      <c r="N27" s="135">
        <f>'ADO-34'!$B$20/1000</f>
        <v>0</v>
      </c>
      <c r="O27" s="136">
        <f t="shared" ref="O27:O28" si="27">IF(H27=0,0,N27/(H27-J27)*1000)</f>
        <v>0</v>
      </c>
      <c r="P27" s="137" t="str">
        <f>'ADO-34'!$B$5</f>
        <v>A faire</v>
      </c>
      <c r="Q27" s="140">
        <f>'ADO-34'!$B$16</f>
        <v>2020</v>
      </c>
      <c r="R27" s="283" t="str">
        <f t="shared" ref="R27:R28" si="28">IF(P27="terminé", N27,"")</f>
        <v/>
      </c>
      <c r="S27" s="138">
        <f t="shared" ref="S27:S28" si="29">IF((P27="Terminé")*AND(E27="Territoire"),N27,0)</f>
        <v>0</v>
      </c>
      <c r="T27" s="138">
        <f t="shared" ref="T27:T28" si="30">IF((P27="Terminé")*AND(E27="Agriculture"),N27,0)</f>
        <v>0</v>
      </c>
      <c r="U27" s="138">
        <f t="shared" ref="U27:U28" si="31">IF((P27="Terminé")*AND(E27="Industrie"), N27,0)</f>
        <v>0</v>
      </c>
      <c r="V27" s="138">
        <f t="shared" ref="V27:V28" si="32">IF((P27="Terminé")*AND(E27="Logement"),N27,0)</f>
        <v>0</v>
      </c>
      <c r="W27" s="138">
        <f t="shared" ref="W27:W28" si="33">IF((P27="Terminé")*AND(E27="Tertiaire"),N27,0)</f>
        <v>0</v>
      </c>
      <c r="X27" s="138">
        <f t="shared" ref="X27:X28" si="34">IF((P27="Terminé")*AND(E27="Transport"),N27,0)</f>
        <v>0</v>
      </c>
      <c r="Y27" s="138">
        <f t="shared" ref="Y27:Y28" si="35">IF((P27="Terminé")*AND(E27="Communal"),N27,0)</f>
        <v>0</v>
      </c>
    </row>
    <row r="28" spans="1:25" s="139" customFormat="1" x14ac:dyDescent="0.25">
      <c r="A28" s="370" t="s">
        <v>990</v>
      </c>
      <c r="B28" s="565" t="str">
        <f>'ADO-35'!B$3:E$3</f>
        <v>Mobilisation</v>
      </c>
      <c r="C28" s="419" t="str">
        <f>'ADO-35'!$B$8</f>
        <v>Citoyens</v>
      </c>
      <c r="D28" s="133" t="str">
        <f>'ADO-35'!$B$9</f>
        <v>Panneaux spécifiques</v>
      </c>
      <c r="E28" s="133" t="str">
        <f>'ADO-35'!$B$4</f>
        <v>Logement</v>
      </c>
      <c r="F28" s="133" t="str">
        <f>'ADO-35'!$B$12</f>
        <v>AC MESSANCY</v>
      </c>
      <c r="G28" s="133" t="str">
        <f>'ADO-35'!$B$6</f>
        <v>Fonds propres</v>
      </c>
      <c r="H28" s="134">
        <f>'ADO-35'!$B$17</f>
        <v>5000</v>
      </c>
      <c r="I28" s="133" t="str">
        <f>'ADO-35'!$B$7</f>
        <v>Subs RW</v>
      </c>
      <c r="J28" s="134">
        <f>'ADO-35'!$B$18</f>
        <v>0</v>
      </c>
      <c r="K28" s="134">
        <f>'ADO-35'!$B$21</f>
        <v>1</v>
      </c>
      <c r="L28" s="134">
        <f>'ADO-35'!$B$22</f>
        <v>0</v>
      </c>
      <c r="M28" s="135">
        <f>'ADO-35'!$B$24</f>
        <v>5000</v>
      </c>
      <c r="N28" s="135">
        <f>'ADO-35'!$B$20/1000</f>
        <v>0</v>
      </c>
      <c r="O28" s="136">
        <f t="shared" si="27"/>
        <v>0</v>
      </c>
      <c r="P28" s="137" t="str">
        <f>'ADO-35'!$B$5</f>
        <v>A faire</v>
      </c>
      <c r="Q28" s="140">
        <f>'ADO-35'!$B$16</f>
        <v>2025</v>
      </c>
      <c r="R28" s="283" t="str">
        <f t="shared" si="28"/>
        <v/>
      </c>
      <c r="S28" s="138">
        <f t="shared" si="29"/>
        <v>0</v>
      </c>
      <c r="T28" s="138">
        <f t="shared" si="30"/>
        <v>0</v>
      </c>
      <c r="U28" s="138">
        <f t="shared" si="31"/>
        <v>0</v>
      </c>
      <c r="V28" s="138">
        <f t="shared" si="32"/>
        <v>0</v>
      </c>
      <c r="W28" s="138">
        <f t="shared" si="33"/>
        <v>0</v>
      </c>
      <c r="X28" s="138">
        <f t="shared" si="34"/>
        <v>0</v>
      </c>
      <c r="Y28" s="138">
        <f t="shared" si="35"/>
        <v>0</v>
      </c>
    </row>
    <row r="29" spans="1:25" s="139" customFormat="1" x14ac:dyDescent="0.25">
      <c r="A29" s="370" t="s">
        <v>1016</v>
      </c>
      <c r="B29" s="578" t="str">
        <f>'ADO-36'!B$3:E$3</f>
        <v>Mobilisation</v>
      </c>
      <c r="C29" s="419" t="str">
        <f>'ADO-36'!$B$8</f>
        <v>Citoyens</v>
      </c>
      <c r="D29" s="133" t="str">
        <f>'ADO-36'!$B$9</f>
        <v>Prêt de compteurs</v>
      </c>
      <c r="E29" s="133" t="str">
        <f>'ADO-36'!$B$4</f>
        <v>Logement</v>
      </c>
      <c r="F29" s="133" t="str">
        <f>'ADO-36'!$B$12</f>
        <v>AC MESSANCY</v>
      </c>
      <c r="G29" s="133" t="str">
        <f>'ADO-36'!$B$6</f>
        <v>Fonds propres</v>
      </c>
      <c r="H29" s="134">
        <f>'ADO-36'!$B$17</f>
        <v>1000</v>
      </c>
      <c r="I29" s="133" t="str">
        <f>'ADO-36'!$B$7</f>
        <v>Subs RW</v>
      </c>
      <c r="J29" s="134">
        <f>'ADO-36'!$B$18</f>
        <v>0</v>
      </c>
      <c r="K29" s="134">
        <f>'ADO-36'!$B$21</f>
        <v>1</v>
      </c>
      <c r="L29" s="134">
        <f>'ADO-36'!$B$22</f>
        <v>0</v>
      </c>
      <c r="M29" s="135">
        <f>'ADO-36'!$B$24</f>
        <v>1000</v>
      </c>
      <c r="N29" s="135">
        <f>'ADO-36'!$B$20/1000</f>
        <v>0</v>
      </c>
      <c r="O29" s="136">
        <f t="shared" ref="O29:O30" si="36">IF(H29=0,0,N29/(H29-J29)*1000)</f>
        <v>0</v>
      </c>
      <c r="P29" s="137" t="str">
        <f>'ADO-36'!$B$5</f>
        <v>A faire</v>
      </c>
      <c r="Q29" s="140">
        <f>'ADO-36'!$B$16</f>
        <v>2030</v>
      </c>
      <c r="R29" s="283" t="str">
        <f t="shared" ref="R29:R30" si="37">IF(P29="terminé", N29,"")</f>
        <v/>
      </c>
      <c r="S29" s="138">
        <f t="shared" ref="S29:S30" si="38">IF((P29="Terminé")*AND(E29="Territoire"),N29,0)</f>
        <v>0</v>
      </c>
      <c r="T29" s="138">
        <f t="shared" ref="T29:T30" si="39">IF((P29="Terminé")*AND(E29="Agriculture"),N29,0)</f>
        <v>0</v>
      </c>
      <c r="U29" s="138">
        <f t="shared" ref="U29:U30" si="40">IF((P29="Terminé")*AND(E29="Industrie"), N29,0)</f>
        <v>0</v>
      </c>
      <c r="V29" s="138">
        <f t="shared" ref="V29:V30" si="41">IF((P29="Terminé")*AND(E29="Logement"),N29,0)</f>
        <v>0</v>
      </c>
      <c r="W29" s="138">
        <f t="shared" ref="W29:W30" si="42">IF((P29="Terminé")*AND(E29="Tertiaire"),N29,0)</f>
        <v>0</v>
      </c>
      <c r="X29" s="138">
        <f t="shared" ref="X29:X30" si="43">IF((P29="Terminé")*AND(E29="Transport"),N29,0)</f>
        <v>0</v>
      </c>
      <c r="Y29" s="138">
        <f t="shared" ref="Y29:Y30" si="44">IF((P29="Terminé")*AND(E29="Communal"),N29,0)</f>
        <v>0</v>
      </c>
    </row>
    <row r="30" spans="1:25" s="139" customFormat="1" x14ac:dyDescent="0.25">
      <c r="A30" s="370" t="s">
        <v>1022</v>
      </c>
      <c r="B30" s="578" t="str">
        <f>'ADO-39'!B$3:E$3</f>
        <v>Mobilisation</v>
      </c>
      <c r="C30" s="419" t="str">
        <f>'ADO-39'!$B$8</f>
        <v>Citoyens</v>
      </c>
      <c r="D30" s="133" t="str">
        <f>'ADO-39'!$B$9</f>
        <v>Objectif 0 déchet-0 pesticide</v>
      </c>
      <c r="E30" s="133" t="str">
        <f>'ADO-39'!$B$4</f>
        <v>Logement</v>
      </c>
      <c r="F30" s="133" t="str">
        <f>'ADO-39'!$B$12</f>
        <v>AC MESSANCY</v>
      </c>
      <c r="G30" s="133" t="str">
        <f>'ADO-39'!$B$6</f>
        <v>Fonds propres</v>
      </c>
      <c r="H30" s="134">
        <f>'ADO-39'!$B$17</f>
        <v>5000</v>
      </c>
      <c r="I30" s="133" t="str">
        <f>'ADO-39'!$B$7</f>
        <v>Subs RW</v>
      </c>
      <c r="J30" s="134">
        <f>'ADO-39'!$B$18</f>
        <v>0</v>
      </c>
      <c r="K30" s="134">
        <f>'ADO-39'!$B$21</f>
        <v>1</v>
      </c>
      <c r="L30" s="134">
        <f>'ADO-39'!$B$22</f>
        <v>0</v>
      </c>
      <c r="M30" s="135">
        <f>'ADO-39'!$B$24</f>
        <v>5000</v>
      </c>
      <c r="N30" s="135">
        <f>'ADO-39'!$B$20/1000</f>
        <v>0</v>
      </c>
      <c r="O30" s="136">
        <f t="shared" si="36"/>
        <v>0</v>
      </c>
      <c r="P30" s="137" t="str">
        <f>'ADO-39'!$B$5</f>
        <v>A faire</v>
      </c>
      <c r="Q30" s="140">
        <f>'ADO-39'!$B$16</f>
        <v>2022</v>
      </c>
      <c r="R30" s="283" t="str">
        <f t="shared" si="37"/>
        <v/>
      </c>
      <c r="S30" s="138">
        <f t="shared" si="38"/>
        <v>0</v>
      </c>
      <c r="T30" s="138">
        <f t="shared" si="39"/>
        <v>0</v>
      </c>
      <c r="U30" s="138">
        <f t="shared" si="40"/>
        <v>0</v>
      </c>
      <c r="V30" s="138">
        <f t="shared" si="41"/>
        <v>0</v>
      </c>
      <c r="W30" s="138">
        <f t="shared" si="42"/>
        <v>0</v>
      </c>
      <c r="X30" s="138">
        <f t="shared" si="43"/>
        <v>0</v>
      </c>
      <c r="Y30" s="138">
        <f t="shared" si="44"/>
        <v>0</v>
      </c>
    </row>
    <row r="31" spans="1:25" s="139" customFormat="1" x14ac:dyDescent="0.25">
      <c r="A31" s="370" t="s">
        <v>779</v>
      </c>
      <c r="B31" s="414" t="str">
        <f>'ADO-40'!B$3:E$3</f>
        <v>Formation</v>
      </c>
      <c r="C31" s="419" t="str">
        <f>'ADO-40'!$B$8</f>
        <v>Tous publics</v>
      </c>
      <c r="D31" s="133" t="str">
        <f>'ADO-40'!$B$9</f>
        <v>Formation à l'isolation</v>
      </c>
      <c r="E31" s="133" t="str">
        <f>'ADO-40'!$B$4</f>
        <v>Territoire</v>
      </c>
      <c r="F31" s="133" t="str">
        <f>'ADO-40'!$B$12</f>
        <v>AC MESSANCY</v>
      </c>
      <c r="G31" s="133" t="str">
        <f>'ADO-40'!$B$6</f>
        <v>Fonds propres</v>
      </c>
      <c r="H31" s="134">
        <f>'ADO-40'!$B$17</f>
        <v>2000</v>
      </c>
      <c r="I31" s="133" t="str">
        <f>'ADO-40'!$B$7</f>
        <v>Néant</v>
      </c>
      <c r="J31" s="134">
        <f>'ADO-40'!$B$18</f>
        <v>0</v>
      </c>
      <c r="K31" s="134">
        <f>'ADO-40'!$B$21</f>
        <v>1</v>
      </c>
      <c r="L31" s="134">
        <f>'ADO-40'!$B$22</f>
        <v>0</v>
      </c>
      <c r="M31" s="135">
        <f>'ADO-40'!$B$24</f>
        <v>2000</v>
      </c>
      <c r="N31" s="135">
        <f>'ADO-40'!$B$20/1000</f>
        <v>0</v>
      </c>
      <c r="O31" s="136">
        <f t="shared" si="18"/>
        <v>0</v>
      </c>
      <c r="P31" s="137" t="str">
        <f>'ADO-40'!$B$5</f>
        <v>A faire</v>
      </c>
      <c r="Q31" s="140">
        <f>'ADO-40'!$B$16</f>
        <v>2022</v>
      </c>
      <c r="R31" s="283" t="str">
        <f t="shared" si="19"/>
        <v/>
      </c>
      <c r="S31" s="138">
        <f t="shared" si="20"/>
        <v>0</v>
      </c>
      <c r="T31" s="138">
        <f t="shared" si="21"/>
        <v>0</v>
      </c>
      <c r="U31" s="138">
        <f t="shared" si="22"/>
        <v>0</v>
      </c>
      <c r="V31" s="138">
        <f t="shared" si="23"/>
        <v>0</v>
      </c>
      <c r="W31" s="138">
        <f t="shared" si="24"/>
        <v>0</v>
      </c>
      <c r="X31" s="138">
        <f t="shared" si="25"/>
        <v>0</v>
      </c>
      <c r="Y31" s="138">
        <f t="shared" si="26"/>
        <v>0</v>
      </c>
    </row>
    <row r="32" spans="1:25" s="139" customFormat="1" x14ac:dyDescent="0.25">
      <c r="A32" s="370" t="s">
        <v>780</v>
      </c>
      <c r="B32" s="414" t="str">
        <f>'ADO-41'!B$3:E$3</f>
        <v>Formation</v>
      </c>
      <c r="C32" s="419" t="str">
        <f>'ADO-41'!$B$8</f>
        <v>Employés communaux</v>
      </c>
      <c r="D32" s="133" t="str">
        <f>'ADO-41'!$B$9</f>
        <v>Formation Eco Guide - Energie</v>
      </c>
      <c r="E32" s="133" t="str">
        <f>'ADO-41'!$B$4</f>
        <v>Territoire</v>
      </c>
      <c r="F32" s="133" t="str">
        <f>'ADO-41'!$B$12</f>
        <v>AC MESSANCY</v>
      </c>
      <c r="G32" s="133" t="str">
        <f>'ADO-41'!$B$6</f>
        <v>Fonds propres</v>
      </c>
      <c r="H32" s="134">
        <f>'ADO-41'!$B$17</f>
        <v>2000</v>
      </c>
      <c r="I32" s="133" t="str">
        <f>'ADO-41'!$B$7</f>
        <v>Néant</v>
      </c>
      <c r="J32" s="134">
        <f>'ADO-41'!$B$18</f>
        <v>0</v>
      </c>
      <c r="K32" s="134">
        <f>'ADO-41'!$B$21</f>
        <v>1</v>
      </c>
      <c r="L32" s="134">
        <f>'ADO-41'!$B$22</f>
        <v>0</v>
      </c>
      <c r="M32" s="135">
        <f>'ADO-41'!$B$24</f>
        <v>2000</v>
      </c>
      <c r="N32" s="135">
        <f>'ADO-41'!$B$20/1000</f>
        <v>0</v>
      </c>
      <c r="O32" s="136">
        <f t="shared" si="18"/>
        <v>0</v>
      </c>
      <c r="P32" s="137" t="str">
        <f>'ADO-41'!$B$5</f>
        <v>A faire</v>
      </c>
      <c r="Q32" s="140">
        <f>'ADO-41'!$B$16</f>
        <v>2022</v>
      </c>
      <c r="R32" s="283" t="str">
        <f t="shared" si="19"/>
        <v/>
      </c>
      <c r="S32" s="138">
        <f t="shared" si="20"/>
        <v>0</v>
      </c>
      <c r="T32" s="138">
        <f t="shared" si="21"/>
        <v>0</v>
      </c>
      <c r="U32" s="138">
        <f t="shared" si="22"/>
        <v>0</v>
      </c>
      <c r="V32" s="138">
        <f t="shared" si="23"/>
        <v>0</v>
      </c>
      <c r="W32" s="138">
        <f t="shared" si="24"/>
        <v>0</v>
      </c>
      <c r="X32" s="138">
        <f t="shared" si="25"/>
        <v>0</v>
      </c>
      <c r="Y32" s="138">
        <f t="shared" si="26"/>
        <v>0</v>
      </c>
    </row>
    <row r="33" spans="1:73" s="139" customFormat="1" x14ac:dyDescent="0.25">
      <c r="A33" s="369" t="s">
        <v>70</v>
      </c>
      <c r="B33" s="414" t="str">
        <f>'ADU-1'!B$3:E$3</f>
        <v>Performance énergétique</v>
      </c>
      <c r="C33" s="419" t="str">
        <f>'ADU-1'!$B$8</f>
        <v>Performance énergétique</v>
      </c>
      <c r="D33" s="133" t="str">
        <f>'ADU-1'!$B$9</f>
        <v>Economies d'énergie 2006-2014</v>
      </c>
      <c r="E33" s="133" t="str">
        <f>'ADU-1'!$B$4</f>
        <v>Logement</v>
      </c>
      <c r="F33" s="133" t="str">
        <f>'ADU-1'!$B$12</f>
        <v>Citoyen</v>
      </c>
      <c r="G33" s="133" t="str">
        <f>'ADU-1'!$B$6</f>
        <v>Prêt bancaire</v>
      </c>
      <c r="H33" s="134">
        <f>'ADU-1'!$B$17</f>
        <v>10076442.909465952</v>
      </c>
      <c r="I33" s="133" t="str">
        <f>'ADU-1'!$B$7</f>
        <v>Primes RW</v>
      </c>
      <c r="J33" s="134">
        <f>'ADU-1'!$B$18</f>
        <v>1007644.2909465953</v>
      </c>
      <c r="K33" s="134">
        <f>'ADU-1'!$B$21</f>
        <v>11282167.633347645</v>
      </c>
      <c r="L33" s="134">
        <f>'ADU-1'!$B$22</f>
        <v>0</v>
      </c>
      <c r="M33" s="135">
        <f>'ADU-1'!$B$24</f>
        <v>0.8038170423663934</v>
      </c>
      <c r="N33" s="135">
        <f>'ADU-1'!$B$20/1000</f>
        <v>0</v>
      </c>
      <c r="O33" s="136"/>
      <c r="P33" s="137" t="str">
        <f>'ADU-1'!$B$5</f>
        <v>Terminé</v>
      </c>
      <c r="Q33" s="140">
        <f>'ADU-1'!$B$16</f>
        <v>2014</v>
      </c>
      <c r="R33" s="283">
        <f t="shared" si="19"/>
        <v>0</v>
      </c>
      <c r="S33" s="138">
        <f t="shared" si="20"/>
        <v>0</v>
      </c>
      <c r="T33" s="138">
        <f t="shared" si="21"/>
        <v>0</v>
      </c>
      <c r="U33" s="138">
        <f t="shared" si="22"/>
        <v>0</v>
      </c>
      <c r="V33" s="138">
        <f t="shared" si="23"/>
        <v>0</v>
      </c>
      <c r="W33" s="138">
        <f t="shared" si="24"/>
        <v>0</v>
      </c>
      <c r="X33" s="138">
        <f t="shared" si="25"/>
        <v>0</v>
      </c>
      <c r="Y33" s="138">
        <f t="shared" si="26"/>
        <v>0</v>
      </c>
    </row>
    <row r="34" spans="1:73" s="139" customFormat="1" x14ac:dyDescent="0.25">
      <c r="A34" s="369" t="s">
        <v>71</v>
      </c>
      <c r="B34" s="414" t="str">
        <f>'ADU-2'!B$3:E$3</f>
        <v>Performance énergétique</v>
      </c>
      <c r="C34" s="419" t="str">
        <f>'ADU-2'!$B$8</f>
        <v>Performance énergétique</v>
      </c>
      <c r="D34" s="133" t="str">
        <f>'ADU-2'!$B$9</f>
        <v>Economies d'énergie 2006-2014</v>
      </c>
      <c r="E34" s="133" t="str">
        <f>'ADU-2'!$B$4</f>
        <v>Transport</v>
      </c>
      <c r="F34" s="133" t="str">
        <f>'ADU-2'!$B$12</f>
        <v>citoyen</v>
      </c>
      <c r="G34" s="133" t="str">
        <f>'ADU-2'!$B$6</f>
        <v>Prêt bancaire</v>
      </c>
      <c r="H34" s="134">
        <f>'ADU-2'!$B$17</f>
        <v>708964.38703444938</v>
      </c>
      <c r="I34" s="133" t="str">
        <f>'ADU-2'!$B$7</f>
        <v>Primes RW</v>
      </c>
      <c r="J34" s="134">
        <f>'ADU-2'!$B$18</f>
        <v>70896.438703444946</v>
      </c>
      <c r="K34" s="134">
        <f>'ADU-2'!$B$21</f>
        <v>889289.87229741097</v>
      </c>
      <c r="L34" s="134">
        <f>'ADU-2'!$B$22</f>
        <v>0</v>
      </c>
      <c r="M34" s="135">
        <f>'ADU-2'!$B$24</f>
        <v>0.7175027718269249</v>
      </c>
      <c r="N34" s="135">
        <f>'ADU-2'!$B$20/1000</f>
        <v>0</v>
      </c>
      <c r="O34" s="136"/>
      <c r="P34" s="137" t="str">
        <f>'ADU-2'!$B$5</f>
        <v>Terminé</v>
      </c>
      <c r="Q34" s="140">
        <f>'ADU-2'!$B$16</f>
        <v>2014</v>
      </c>
      <c r="R34" s="283">
        <f t="shared" ref="R34:R42" si="45">IF(P34="terminé", N34,"")</f>
        <v>0</v>
      </c>
      <c r="S34" s="138">
        <f>IF((P34="Terminé")*AND(E34="Territoire"),N34,0)</f>
        <v>0</v>
      </c>
      <c r="T34" s="138">
        <f>IF((P34="Terminé")*AND(E34="Agriculture"),N34,0)</f>
        <v>0</v>
      </c>
      <c r="U34" s="138">
        <f>IF((P34="Terminé")*AND(E34="Industrie"), N34,0)</f>
        <v>0</v>
      </c>
      <c r="V34" s="138">
        <f>IF((P34="Terminé")*AND(E34="Logement"),N34,0)</f>
        <v>0</v>
      </c>
      <c r="W34" s="138">
        <f>IF((P34="Terminé")*AND(E34="Tertiaire"),N34,0)</f>
        <v>0</v>
      </c>
      <c r="X34" s="138">
        <f>IF((P34="Terminé")*AND(E34="Transport"),N34,0)</f>
        <v>0</v>
      </c>
      <c r="Y34" s="138">
        <f>IF((P34="Terminé")*AND(E34="Communal"),N34,0)</f>
        <v>0</v>
      </c>
    </row>
    <row r="35" spans="1:73" s="139" customFormat="1" x14ac:dyDescent="0.25">
      <c r="A35" s="369" t="s">
        <v>72</v>
      </c>
      <c r="B35" s="414" t="str">
        <f>'ADU-3'!B$3:E$3</f>
        <v>Performance énergétique</v>
      </c>
      <c r="C35" s="419" t="str">
        <f>'ADU-3'!$B$8</f>
        <v>Performance énergétique</v>
      </c>
      <c r="D35" s="133" t="str">
        <f>'ADU-3'!$B$9</f>
        <v>Economies d'énergie 2006-2014</v>
      </c>
      <c r="E35" s="133" t="str">
        <f>'ADU-3'!$B$4</f>
        <v>Industrie</v>
      </c>
      <c r="F35" s="133" t="str">
        <f>'ADU-3'!$B$12</f>
        <v>Industrie</v>
      </c>
      <c r="G35" s="133" t="str">
        <f>'ADU-3'!$B$6</f>
        <v>Prêt bancaire</v>
      </c>
      <c r="H35" s="134">
        <f>'ADU-3'!$B$17</f>
        <v>8810312.6817332674</v>
      </c>
      <c r="I35" s="133" t="str">
        <f>'ADU-3'!$B$7</f>
        <v>Primes RW</v>
      </c>
      <c r="J35" s="134">
        <f>'ADU-3'!$B$18</f>
        <v>881031.26817332674</v>
      </c>
      <c r="K35" s="134">
        <f>'ADU-3'!$B$21</f>
        <v>3577993.904112637</v>
      </c>
      <c r="L35" s="134">
        <f>'ADU-3'!$B$22</f>
        <v>0</v>
      </c>
      <c r="M35" s="135">
        <f>'ADU-3'!$B$24</f>
        <v>2.2161249085544341</v>
      </c>
      <c r="N35" s="135">
        <f>'ADU-3'!$B$20/1000</f>
        <v>0</v>
      </c>
      <c r="O35" s="136"/>
      <c r="P35" s="137" t="str">
        <f>'ADU-3'!$B$5</f>
        <v>Terminé</v>
      </c>
      <c r="Q35" s="140">
        <f>'ADU-3'!$B$16</f>
        <v>2014</v>
      </c>
      <c r="R35" s="283">
        <f t="shared" si="45"/>
        <v>0</v>
      </c>
      <c r="S35" s="138">
        <f t="shared" ref="S35:S42" si="46">IF((P35="Terminé")*AND(E35="Territoire"),N35,0)</f>
        <v>0</v>
      </c>
      <c r="T35" s="138">
        <f t="shared" ref="T35:T42" si="47">IF((P35="Terminé")*AND(E35="Agriculture"),N35,0)</f>
        <v>0</v>
      </c>
      <c r="U35" s="138">
        <f t="shared" ref="U35:U42" si="48">IF((P35="Terminé")*AND(E35="Industrie"), N35,0)</f>
        <v>0</v>
      </c>
      <c r="V35" s="138">
        <f t="shared" ref="V35:V42" si="49">IF((P35="Terminé")*AND(E35="Logement"),N35,0)</f>
        <v>0</v>
      </c>
      <c r="W35" s="138">
        <f t="shared" ref="W35:W42" si="50">IF((P35="Terminé")*AND(E35="Tertiaire"),N35,0)</f>
        <v>0</v>
      </c>
      <c r="X35" s="138">
        <f t="shared" ref="X35:X42" si="51">IF((P35="Terminé")*AND(E35="Transport"),N35,0)</f>
        <v>0</v>
      </c>
      <c r="Y35" s="138">
        <f t="shared" ref="Y35:Y42" si="52">IF((P35="Terminé")*AND(E35="Communal"),N35,0)</f>
        <v>0</v>
      </c>
    </row>
    <row r="36" spans="1:73" s="139" customFormat="1" x14ac:dyDescent="0.25">
      <c r="A36" s="369" t="s">
        <v>759</v>
      </c>
      <c r="B36" s="414" t="str">
        <f>'ADU-4'!B$3:E$3</f>
        <v>Performance énergétique</v>
      </c>
      <c r="C36" s="419">
        <f>'ADU-4'!$B$8</f>
        <v>0</v>
      </c>
      <c r="D36" s="133">
        <f>'ADU-4'!$B$9</f>
        <v>0</v>
      </c>
      <c r="E36" s="133" t="str">
        <f>'ADU-4'!$B$4</f>
        <v>Tertiaire</v>
      </c>
      <c r="F36" s="133">
        <f>'ADU-4'!$B$12</f>
        <v>0</v>
      </c>
      <c r="G36" s="133" t="str">
        <f>'ADU-4'!$B$6</f>
        <v>Fonds propres</v>
      </c>
      <c r="H36" s="134">
        <f>'ADU-4'!$B$17</f>
        <v>0</v>
      </c>
      <c r="I36" s="133" t="str">
        <f>'ADU-4'!$B$7</f>
        <v>Subs RW</v>
      </c>
      <c r="J36" s="134">
        <f>'ADU-4'!$B$18</f>
        <v>0</v>
      </c>
      <c r="K36" s="134">
        <f>'ADU-4'!$B$21</f>
        <v>0</v>
      </c>
      <c r="L36" s="134">
        <f>'ADU-4'!$B$22</f>
        <v>0</v>
      </c>
      <c r="M36" s="135" t="e">
        <f>'ADU-4'!$B$24</f>
        <v>#DIV/0!</v>
      </c>
      <c r="N36" s="135">
        <f>'ADU-4'!$B$20/1000</f>
        <v>0</v>
      </c>
      <c r="O36" s="136"/>
      <c r="P36" s="137" t="str">
        <f>'ADU-4'!$B$5</f>
        <v>Ne pas réaliser</v>
      </c>
      <c r="Q36" s="140">
        <f>'ADU-4'!$B$16</f>
        <v>0</v>
      </c>
      <c r="R36" s="283" t="str">
        <f t="shared" si="45"/>
        <v/>
      </c>
      <c r="S36" s="138">
        <f t="shared" si="46"/>
        <v>0</v>
      </c>
      <c r="T36" s="138">
        <f t="shared" si="47"/>
        <v>0</v>
      </c>
      <c r="U36" s="138">
        <f t="shared" si="48"/>
        <v>0</v>
      </c>
      <c r="V36" s="138">
        <f t="shared" si="49"/>
        <v>0</v>
      </c>
      <c r="W36" s="138">
        <f t="shared" si="50"/>
        <v>0</v>
      </c>
      <c r="X36" s="138">
        <f t="shared" si="51"/>
        <v>0</v>
      </c>
      <c r="Y36" s="138">
        <f t="shared" si="52"/>
        <v>0</v>
      </c>
    </row>
    <row r="37" spans="1:73" s="139" customFormat="1" x14ac:dyDescent="0.25">
      <c r="A37" s="369" t="s">
        <v>73</v>
      </c>
      <c r="B37" s="414" t="str">
        <f>'ADU-5'!B$3:E$3</f>
        <v>Performance énergétique</v>
      </c>
      <c r="C37" s="419" t="str">
        <f>'ADU-5'!$B$8</f>
        <v>Performance énergétique</v>
      </c>
      <c r="D37" s="133" t="str">
        <f>'ADU-5'!$B$9</f>
        <v>Travaux économiseurs d'énergie - Chauffage</v>
      </c>
      <c r="E37" s="133" t="str">
        <f>'ADU-5'!$B$4</f>
        <v>Communal</v>
      </c>
      <c r="F37" s="133" t="str">
        <f>'ADU-5'!$B$12</f>
        <v>AC MESSANCY</v>
      </c>
      <c r="G37" s="133" t="str">
        <f>'ADU-5'!$B$6</f>
        <v>Fonds propres</v>
      </c>
      <c r="H37" s="134">
        <f>'ADU-5'!$B$17</f>
        <v>632557.66999999993</v>
      </c>
      <c r="I37" s="133" t="str">
        <f>'ADU-5'!$B$7</f>
        <v>Néant</v>
      </c>
      <c r="J37" s="134">
        <f>'ADU-5'!$B$18</f>
        <v>476548.5</v>
      </c>
      <c r="K37" s="134">
        <f>'ADU-5'!$B$21</f>
        <v>16253</v>
      </c>
      <c r="L37" s="134">
        <f>'ADU-5'!$B$22</f>
        <v>0</v>
      </c>
      <c r="M37" s="135">
        <f>'ADU-5'!$B$24</f>
        <v>9.5987922229742164</v>
      </c>
      <c r="N37" s="135">
        <f>'ADU-5'!$B$20/1000</f>
        <v>0</v>
      </c>
      <c r="O37" s="136"/>
      <c r="P37" s="137" t="str">
        <f>'ADU-5'!$B$5</f>
        <v>Terminé</v>
      </c>
      <c r="Q37" s="140">
        <f>'ADU-5'!$B$16</f>
        <v>2017</v>
      </c>
      <c r="R37" s="283">
        <f t="shared" si="45"/>
        <v>0</v>
      </c>
      <c r="S37" s="138">
        <f t="shared" si="46"/>
        <v>0</v>
      </c>
      <c r="T37" s="138">
        <f t="shared" si="47"/>
        <v>0</v>
      </c>
      <c r="U37" s="138">
        <f t="shared" si="48"/>
        <v>0</v>
      </c>
      <c r="V37" s="138">
        <f t="shared" si="49"/>
        <v>0</v>
      </c>
      <c r="W37" s="138">
        <f t="shared" si="50"/>
        <v>0</v>
      </c>
      <c r="X37" s="138">
        <f t="shared" si="51"/>
        <v>0</v>
      </c>
      <c r="Y37" s="138">
        <f t="shared" si="52"/>
        <v>0</v>
      </c>
    </row>
    <row r="38" spans="1:73" s="139" customFormat="1" x14ac:dyDescent="0.25">
      <c r="A38" s="369" t="s">
        <v>74</v>
      </c>
      <c r="B38" s="414" t="str">
        <f>'ADU-6'!B$3:E$3</f>
        <v>Performance énergétique</v>
      </c>
      <c r="C38" s="419">
        <f>'ADU-6'!$B$8</f>
        <v>0</v>
      </c>
      <c r="D38" s="133">
        <f>'ADU-6'!$B$9</f>
        <v>0</v>
      </c>
      <c r="E38" s="133" t="str">
        <f>'ADU-6'!$B$4</f>
        <v>Communal</v>
      </c>
      <c r="F38" s="133">
        <f>'ADU-6'!$B$12</f>
        <v>0</v>
      </c>
      <c r="G38" s="133" t="str">
        <f>'ADU-6'!$B$6</f>
        <v>Néant</v>
      </c>
      <c r="H38" s="134">
        <f>'ADU-6'!$B$17</f>
        <v>0</v>
      </c>
      <c r="I38" s="133" t="str">
        <f>'ADU-6'!$B$7</f>
        <v>Néant</v>
      </c>
      <c r="J38" s="134">
        <f>'ADU-6'!$B$18</f>
        <v>0</v>
      </c>
      <c r="K38" s="134">
        <f>'ADU-6'!$B$21</f>
        <v>0</v>
      </c>
      <c r="L38" s="134">
        <f>'ADU-6'!$B$22</f>
        <v>0</v>
      </c>
      <c r="M38" s="135" t="e">
        <f>'ADU-6'!$B$24</f>
        <v>#DIV/0!</v>
      </c>
      <c r="N38" s="135">
        <f>'ADU-6'!$B$20/1000</f>
        <v>0</v>
      </c>
      <c r="O38" s="136"/>
      <c r="P38" s="137" t="str">
        <f>'ADU-6'!$B$5</f>
        <v>Ne pas réaliser</v>
      </c>
      <c r="Q38" s="140">
        <f>'ADU-6'!$B$16</f>
        <v>0</v>
      </c>
      <c r="R38" s="283" t="str">
        <f t="shared" si="45"/>
        <v/>
      </c>
      <c r="S38" s="138">
        <f t="shared" si="46"/>
        <v>0</v>
      </c>
      <c r="T38" s="138">
        <f t="shared" si="47"/>
        <v>0</v>
      </c>
      <c r="U38" s="138">
        <f t="shared" si="48"/>
        <v>0</v>
      </c>
      <c r="V38" s="138">
        <f t="shared" si="49"/>
        <v>0</v>
      </c>
      <c r="W38" s="138">
        <f t="shared" si="50"/>
        <v>0</v>
      </c>
      <c r="X38" s="138">
        <f t="shared" si="51"/>
        <v>0</v>
      </c>
      <c r="Y38" s="138">
        <f t="shared" si="52"/>
        <v>0</v>
      </c>
    </row>
    <row r="39" spans="1:73" s="139" customFormat="1" x14ac:dyDescent="0.25">
      <c r="A39" s="369" t="s">
        <v>75</v>
      </c>
      <c r="B39" s="414" t="str">
        <f>'ADU-7'!B$3:E$3</f>
        <v>Performance énergétique</v>
      </c>
      <c r="C39" s="419" t="str">
        <f>'ADU-7'!$B$8</f>
        <v xml:space="preserve">Logements </v>
      </c>
      <c r="D39" s="133" t="str">
        <f>'ADU-7'!$B$9</f>
        <v>Travaux d'isolation - PLANCHERS</v>
      </c>
      <c r="E39" s="133" t="str">
        <f>'ADU-7'!$B$4</f>
        <v>Logement</v>
      </c>
      <c r="F39" s="133" t="str">
        <f>'ADU-7'!$B$12</f>
        <v>Citoyen</v>
      </c>
      <c r="G39" s="133" t="str">
        <f>'ADU-7'!$B$6</f>
        <v>ECOPÄCK</v>
      </c>
      <c r="H39" s="134">
        <f>'ADU-7'!$B$17</f>
        <v>750000</v>
      </c>
      <c r="I39" s="133" t="str">
        <f>'ADU-7'!$B$7</f>
        <v>Primes RW</v>
      </c>
      <c r="J39" s="134">
        <f>'ADU-7'!$B$18</f>
        <v>60000</v>
      </c>
      <c r="K39" s="134">
        <f>'ADU-7'!$B$21</f>
        <v>15737.565814776404</v>
      </c>
      <c r="L39" s="134">
        <f>'ADU-7'!$B$22</f>
        <v>0</v>
      </c>
      <c r="M39" s="135">
        <f>'ADU-7'!$B$24</f>
        <v>43.844137531875568</v>
      </c>
      <c r="N39" s="135">
        <f>'ADU-7'!$B$20/1000</f>
        <v>0</v>
      </c>
      <c r="O39" s="136"/>
      <c r="P39" s="137" t="str">
        <f>'ADU-7'!$B$5</f>
        <v>A faire</v>
      </c>
      <c r="Q39" s="140">
        <f>'ADU-7'!$B$16</f>
        <v>2030</v>
      </c>
      <c r="R39" s="283" t="str">
        <f t="shared" si="45"/>
        <v/>
      </c>
      <c r="S39" s="138">
        <f t="shared" si="46"/>
        <v>0</v>
      </c>
      <c r="T39" s="138">
        <f t="shared" si="47"/>
        <v>0</v>
      </c>
      <c r="U39" s="138">
        <f t="shared" si="48"/>
        <v>0</v>
      </c>
      <c r="V39" s="138">
        <f t="shared" si="49"/>
        <v>0</v>
      </c>
      <c r="W39" s="138">
        <f t="shared" si="50"/>
        <v>0</v>
      </c>
      <c r="X39" s="138">
        <f t="shared" si="51"/>
        <v>0</v>
      </c>
      <c r="Y39" s="138">
        <f t="shared" si="52"/>
        <v>0</v>
      </c>
    </row>
    <row r="40" spans="1:73" s="139" customFormat="1" x14ac:dyDescent="0.25">
      <c r="A40" s="369" t="s">
        <v>79</v>
      </c>
      <c r="B40" s="414" t="str">
        <f>'ADU-8'!B$3:E$3</f>
        <v>Performance énergétique</v>
      </c>
      <c r="C40" s="419" t="str">
        <f>'ADU-8'!$B$8</f>
        <v xml:space="preserve">Logements </v>
      </c>
      <c r="D40" s="133" t="str">
        <f>'ADU-8'!$B$9</f>
        <v>Travaux d'isolation -TOITURES</v>
      </c>
      <c r="E40" s="133" t="str">
        <f>'ADU-8'!$B$4</f>
        <v>Logement</v>
      </c>
      <c r="F40" s="133" t="str">
        <f>'ADU-8'!$B$12</f>
        <v>Citoyen</v>
      </c>
      <c r="G40" s="133" t="str">
        <f>'ADU-8'!$B$6</f>
        <v>ECOPÄCK</v>
      </c>
      <c r="H40" s="134">
        <f>'ADU-8'!$B$17</f>
        <v>2750000</v>
      </c>
      <c r="I40" s="133" t="str">
        <f>'ADU-8'!$B$7</f>
        <v>Primes RW</v>
      </c>
      <c r="J40" s="134">
        <f>'ADU-8'!$B$18</f>
        <v>220000</v>
      </c>
      <c r="K40" s="134">
        <f>'ADU-8'!$B$21</f>
        <v>180457.42134276946</v>
      </c>
      <c r="L40" s="134">
        <f>'ADU-8'!$B$22</f>
        <v>0</v>
      </c>
      <c r="M40" s="135">
        <f>'ADU-8'!$B$24</f>
        <v>14.019927699146255</v>
      </c>
      <c r="N40" s="135">
        <f>'ADU-8'!$B$20/1000</f>
        <v>0</v>
      </c>
      <c r="O40" s="136"/>
      <c r="P40" s="137" t="str">
        <f>'ADU-8'!$B$5</f>
        <v>A faire</v>
      </c>
      <c r="Q40" s="140">
        <f>'ADU-8'!$B$16</f>
        <v>2030</v>
      </c>
      <c r="R40" s="283" t="str">
        <f t="shared" si="45"/>
        <v/>
      </c>
      <c r="S40" s="138">
        <f t="shared" si="46"/>
        <v>0</v>
      </c>
      <c r="T40" s="138">
        <f t="shared" si="47"/>
        <v>0</v>
      </c>
      <c r="U40" s="138">
        <f t="shared" si="48"/>
        <v>0</v>
      </c>
      <c r="V40" s="138">
        <f t="shared" si="49"/>
        <v>0</v>
      </c>
      <c r="W40" s="138">
        <f t="shared" si="50"/>
        <v>0</v>
      </c>
      <c r="X40" s="138">
        <f t="shared" si="51"/>
        <v>0</v>
      </c>
      <c r="Y40" s="138">
        <f t="shared" si="52"/>
        <v>0</v>
      </c>
    </row>
    <row r="41" spans="1:73" s="139" customFormat="1" x14ac:dyDescent="0.25">
      <c r="A41" s="369" t="s">
        <v>80</v>
      </c>
      <c r="B41" s="414" t="str">
        <f>'ADU-9'!B$3:E$3</f>
        <v>Performance énergétique</v>
      </c>
      <c r="C41" s="419" t="str">
        <f>'ADU-9'!$B$8</f>
        <v xml:space="preserve">Logements </v>
      </c>
      <c r="D41" s="133" t="str">
        <f>'ADU-9'!$B$9</f>
        <v>Travaux d'isolation _ MURS EXTERIEURS</v>
      </c>
      <c r="E41" s="133" t="str">
        <f>'ADU-9'!$B$4</f>
        <v>Logement</v>
      </c>
      <c r="F41" s="133" t="str">
        <f>'ADU-9'!$B$12</f>
        <v>Citoyen</v>
      </c>
      <c r="G41" s="133" t="str">
        <f>'ADU-9'!$B$6</f>
        <v>ECOPÄCK</v>
      </c>
      <c r="H41" s="134">
        <f>'ADU-9'!$B$17</f>
        <v>1400000</v>
      </c>
      <c r="I41" s="133" t="str">
        <f>'ADU-9'!$B$7</f>
        <v>Primes RW</v>
      </c>
      <c r="J41" s="134">
        <f>'ADU-9'!$B$18</f>
        <v>112000</v>
      </c>
      <c r="K41" s="134">
        <f>'ADU-9'!$B$21</f>
        <v>32224.539525494543</v>
      </c>
      <c r="L41" s="134">
        <f>'ADU-9'!$B$22</f>
        <v>0</v>
      </c>
      <c r="M41" s="135">
        <f>'ADU-9'!$B$24</f>
        <v>39.969539331384233</v>
      </c>
      <c r="N41" s="135">
        <f>'ADU-9'!$B$20/1000</f>
        <v>0</v>
      </c>
      <c r="O41" s="136"/>
      <c r="P41" s="137" t="str">
        <f>'ADU-9'!$B$5</f>
        <v>A faire</v>
      </c>
      <c r="Q41" s="140">
        <f>'ADU-9'!$B$16</f>
        <v>2030</v>
      </c>
      <c r="R41" s="283" t="str">
        <f t="shared" si="45"/>
        <v/>
      </c>
      <c r="S41" s="138">
        <f t="shared" si="46"/>
        <v>0</v>
      </c>
      <c r="T41" s="138">
        <f t="shared" si="47"/>
        <v>0</v>
      </c>
      <c r="U41" s="138">
        <f t="shared" si="48"/>
        <v>0</v>
      </c>
      <c r="V41" s="138">
        <f t="shared" si="49"/>
        <v>0</v>
      </c>
      <c r="W41" s="138">
        <f t="shared" si="50"/>
        <v>0</v>
      </c>
      <c r="X41" s="138">
        <f t="shared" si="51"/>
        <v>0</v>
      </c>
      <c r="Y41" s="138">
        <f t="shared" si="52"/>
        <v>0</v>
      </c>
    </row>
    <row r="42" spans="1:73" s="139" customFormat="1" x14ac:dyDescent="0.25">
      <c r="A42" s="369" t="s">
        <v>81</v>
      </c>
      <c r="B42" s="414" t="str">
        <f>'ADU-10'!B$3:E$3</f>
        <v>Performance énergétique</v>
      </c>
      <c r="C42" s="419" t="str">
        <f>'ADU-10'!$B$8</f>
        <v xml:space="preserve">Logements </v>
      </c>
      <c r="D42" s="133" t="str">
        <f>'ADU-10'!$B$9</f>
        <v>Travaux d'isolation  - VITRAGES</v>
      </c>
      <c r="E42" s="133" t="str">
        <f>'ADU-10'!$B$4</f>
        <v>Logement</v>
      </c>
      <c r="F42" s="133" t="str">
        <f>'ADU-10'!$B$12</f>
        <v>Citoyen</v>
      </c>
      <c r="G42" s="133" t="str">
        <f>'ADU-10'!$B$6</f>
        <v>ECOPÄCK</v>
      </c>
      <c r="H42" s="134">
        <f>'ADU-10'!$B$17</f>
        <v>1620000</v>
      </c>
      <c r="I42" s="133" t="str">
        <f>'ADU-10'!$B$7</f>
        <v>Primes RW</v>
      </c>
      <c r="J42" s="134">
        <f>'ADU-10'!$B$18</f>
        <v>75000</v>
      </c>
      <c r="K42" s="134">
        <f>'ADU-10'!$B$21</f>
        <v>38669.447430593456</v>
      </c>
      <c r="L42" s="134">
        <f>'ADU-10'!$B$22</f>
        <v>0</v>
      </c>
      <c r="M42" s="135">
        <f>'ADU-10'!$B$24</f>
        <v>39.954023205867387</v>
      </c>
      <c r="N42" s="135">
        <f>'ADU-10'!$B$20/1000</f>
        <v>0</v>
      </c>
      <c r="O42" s="136"/>
      <c r="P42" s="137" t="str">
        <f>'ADU-10'!$B$5</f>
        <v>A faire</v>
      </c>
      <c r="Q42" s="140">
        <f>'ADU-10'!$B$16</f>
        <v>2030</v>
      </c>
      <c r="R42" s="283" t="str">
        <f t="shared" si="45"/>
        <v/>
      </c>
      <c r="S42" s="138">
        <f t="shared" si="46"/>
        <v>0</v>
      </c>
      <c r="T42" s="138">
        <f t="shared" si="47"/>
        <v>0</v>
      </c>
      <c r="U42" s="138">
        <f t="shared" si="48"/>
        <v>0</v>
      </c>
      <c r="V42" s="138">
        <f t="shared" si="49"/>
        <v>0</v>
      </c>
      <c r="W42" s="138">
        <f t="shared" si="50"/>
        <v>0</v>
      </c>
      <c r="X42" s="138">
        <f t="shared" si="51"/>
        <v>0</v>
      </c>
      <c r="Y42" s="138">
        <f t="shared" si="52"/>
        <v>0</v>
      </c>
    </row>
    <row r="43" spans="1:73" x14ac:dyDescent="0.25">
      <c r="A43" s="369" t="s">
        <v>485</v>
      </c>
      <c r="B43" s="414" t="str">
        <f>'ADU-11'!B$3:E$3</f>
        <v>Performance énergétique</v>
      </c>
      <c r="C43" s="419" t="str">
        <f>'ADU-11'!$B$8</f>
        <v xml:space="preserve">Logements </v>
      </c>
      <c r="D43" s="133" t="str">
        <f>'ADU-11'!$B$9</f>
        <v>Luminaires économiques</v>
      </c>
      <c r="E43" s="133" t="str">
        <f>'ADU-11'!$B$4</f>
        <v>Logement</v>
      </c>
      <c r="F43" s="133" t="str">
        <f>'ADU-11'!$B$12</f>
        <v>Citoyen</v>
      </c>
      <c r="G43" s="133" t="str">
        <f>'ADU-11'!$B$6</f>
        <v>Fonds propres</v>
      </c>
      <c r="H43" s="134">
        <f>'ADU-11'!$B$17</f>
        <v>35000</v>
      </c>
      <c r="I43" s="133" t="str">
        <f>'ADU-11'!$B$7</f>
        <v>Néant</v>
      </c>
      <c r="J43" s="134">
        <f>'ADU-11'!$B$18</f>
        <v>0</v>
      </c>
      <c r="K43" s="134">
        <f>'ADU-11'!$B$21</f>
        <v>13140</v>
      </c>
      <c r="L43" s="134">
        <f>'ADU-11'!$B$22</f>
        <v>0</v>
      </c>
      <c r="M43" s="135">
        <f>'ADU-11'!$B$24</f>
        <v>2.6636225266362255</v>
      </c>
      <c r="N43" s="135">
        <f>'ADU-11'!$B$20/1000</f>
        <v>0</v>
      </c>
      <c r="O43" s="136"/>
      <c r="P43" s="137" t="str">
        <f>'ADU-11'!$B$5</f>
        <v>A faire</v>
      </c>
      <c r="Q43" s="140">
        <f>'ADU-11'!$B$16</f>
        <v>2030</v>
      </c>
      <c r="R43" s="283" t="str">
        <f t="shared" ref="R43:R52" si="53">IF(P43="terminé", N43,"")</f>
        <v/>
      </c>
      <c r="S43" s="138">
        <f t="shared" ref="S43:S52" si="54">IF((P43="Terminé")*AND(E43="Territoire"),N43,0)</f>
        <v>0</v>
      </c>
      <c r="T43" s="138">
        <f t="shared" ref="T43:T52" si="55">IF((P43="Terminé")*AND(E43="Agriculture"),N43,0)</f>
        <v>0</v>
      </c>
      <c r="U43" s="138">
        <f t="shared" ref="U43:U52" si="56">IF((P43="Terminé")*AND(E43="Industrie"), N43,0)</f>
        <v>0</v>
      </c>
      <c r="V43" s="138">
        <f t="shared" ref="V43:V52" si="57">IF((P43="Terminé")*AND(E43="Logement"),N43,0)</f>
        <v>0</v>
      </c>
      <c r="W43" s="138">
        <f t="shared" ref="W43:W52" si="58">IF((P43="Terminé")*AND(E43="Tertiaire"),N43,0)</f>
        <v>0</v>
      </c>
      <c r="X43" s="138">
        <f t="shared" ref="X43:X52" si="59">IF((P43="Terminé")*AND(E43="Transport"),N43,0)</f>
        <v>0</v>
      </c>
      <c r="Y43" s="138">
        <f t="shared" ref="Y43:Y52" si="60">IF((P43="Terminé")*AND(E43="Communal"),N43,0)</f>
        <v>0</v>
      </c>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row>
    <row r="44" spans="1:73" s="139" customFormat="1" x14ac:dyDescent="0.25">
      <c r="A44" s="369" t="s">
        <v>82</v>
      </c>
      <c r="B44" s="414" t="str">
        <f>'ADU-12'!B$3:E$3</f>
        <v>Performance énergétique</v>
      </c>
      <c r="C44" s="419" t="str">
        <f>'ADU-12'!$B$8</f>
        <v xml:space="preserve">Logements </v>
      </c>
      <c r="D44" s="133" t="str">
        <f>'ADU-12'!$B$9</f>
        <v>Electroménager ECO</v>
      </c>
      <c r="E44" s="133" t="str">
        <f>'ADU-12'!$B$4</f>
        <v>Logement</v>
      </c>
      <c r="F44" s="133" t="str">
        <f>'ADU-12'!$B$12</f>
        <v>Citoyen</v>
      </c>
      <c r="G44" s="133" t="str">
        <f>'ADU-12'!$B$6</f>
        <v>Fonds propres</v>
      </c>
      <c r="H44" s="134">
        <f>'ADU-12'!$B$17</f>
        <v>1350000</v>
      </c>
      <c r="I44" s="133" t="str">
        <f>'ADU-12'!$B$7</f>
        <v>Néant</v>
      </c>
      <c r="J44" s="134">
        <f>'ADU-12'!$B$18</f>
        <v>0</v>
      </c>
      <c r="K44" s="134">
        <f>'ADU-12'!$B$21</f>
        <v>225000</v>
      </c>
      <c r="L44" s="134">
        <f>'ADU-12'!$B$22</f>
        <v>0</v>
      </c>
      <c r="M44" s="135">
        <f>'ADU-12'!$B$24</f>
        <v>6</v>
      </c>
      <c r="N44" s="135">
        <f>'ADU-12'!$B$20/1000</f>
        <v>0</v>
      </c>
      <c r="O44" s="136"/>
      <c r="P44" s="137" t="str">
        <f>'ADU-12'!$B$5</f>
        <v>A faire</v>
      </c>
      <c r="Q44" s="140">
        <f>'ADU-12'!$B$16</f>
        <v>2030</v>
      </c>
      <c r="R44" s="283" t="str">
        <f t="shared" si="53"/>
        <v/>
      </c>
      <c r="S44" s="138">
        <f t="shared" si="54"/>
        <v>0</v>
      </c>
      <c r="T44" s="138">
        <f t="shared" si="55"/>
        <v>0</v>
      </c>
      <c r="U44" s="138">
        <f t="shared" si="56"/>
        <v>0</v>
      </c>
      <c r="V44" s="138">
        <f t="shared" si="57"/>
        <v>0</v>
      </c>
      <c r="W44" s="138">
        <f t="shared" si="58"/>
        <v>0</v>
      </c>
      <c r="X44" s="138">
        <f t="shared" si="59"/>
        <v>0</v>
      </c>
      <c r="Y44" s="138">
        <f t="shared" si="60"/>
        <v>0</v>
      </c>
    </row>
    <row r="45" spans="1:73" s="139" customFormat="1" x14ac:dyDescent="0.25">
      <c r="A45" s="369" t="s">
        <v>84</v>
      </c>
      <c r="B45" s="414" t="str">
        <f>'ADU-13'!B$3:E$3</f>
        <v>Performance énergétique</v>
      </c>
      <c r="C45" s="419" t="str">
        <f>'ADU-13'!$B$8</f>
        <v xml:space="preserve">Logements </v>
      </c>
      <c r="D45" s="133" t="str">
        <f>'ADU-13'!$B$9</f>
        <v>Chaudières à condensation</v>
      </c>
      <c r="E45" s="133" t="str">
        <f>'ADU-13'!$B$4</f>
        <v>Logement</v>
      </c>
      <c r="F45" s="133" t="str">
        <f>'ADU-13'!$B$12</f>
        <v>Citoyen</v>
      </c>
      <c r="G45" s="133" t="str">
        <f>'ADU-13'!$B$6</f>
        <v>Fonds propres</v>
      </c>
      <c r="H45" s="134">
        <f>'ADU-13'!$B$17</f>
        <v>1000000</v>
      </c>
      <c r="I45" s="133" t="str">
        <f>'ADU-13'!$B$7</f>
        <v>Néant</v>
      </c>
      <c r="J45" s="134">
        <f>'ADU-13'!$B$18</f>
        <v>0</v>
      </c>
      <c r="K45" s="134">
        <f>'ADU-13'!$B$21</f>
        <v>20983.42108636854</v>
      </c>
      <c r="L45" s="134">
        <f>'ADU-13'!$B$22</f>
        <v>0</v>
      </c>
      <c r="M45" s="135">
        <f>'ADU-13'!$B$24</f>
        <v>47.656671230299523</v>
      </c>
      <c r="N45" s="135">
        <f>'ADU-13'!$B$20/1000</f>
        <v>0</v>
      </c>
      <c r="O45" s="136"/>
      <c r="P45" s="137" t="str">
        <f>'ADU-13'!$B$5</f>
        <v>A faire</v>
      </c>
      <c r="Q45" s="140">
        <f>'ADU-13'!$B$16</f>
        <v>2030</v>
      </c>
      <c r="R45" s="283" t="str">
        <f t="shared" si="53"/>
        <v/>
      </c>
      <c r="S45" s="138">
        <f t="shared" si="54"/>
        <v>0</v>
      </c>
      <c r="T45" s="138">
        <f t="shared" si="55"/>
        <v>0</v>
      </c>
      <c r="U45" s="138">
        <f t="shared" si="56"/>
        <v>0</v>
      </c>
      <c r="V45" s="138">
        <f t="shared" si="57"/>
        <v>0</v>
      </c>
      <c r="W45" s="138">
        <f t="shared" si="58"/>
        <v>0</v>
      </c>
      <c r="X45" s="138">
        <f t="shared" si="59"/>
        <v>0</v>
      </c>
      <c r="Y45" s="138">
        <f t="shared" si="60"/>
        <v>0</v>
      </c>
    </row>
    <row r="46" spans="1:73" s="139" customFormat="1" x14ac:dyDescent="0.25">
      <c r="A46" s="369" t="s">
        <v>88</v>
      </c>
      <c r="B46" s="414" t="str">
        <f>'ADU-14'!B$3:E$3</f>
        <v>Performance énergétique</v>
      </c>
      <c r="C46" s="419" t="str">
        <f>'ADU-14'!$B$8</f>
        <v xml:space="preserve">Logements </v>
      </c>
      <c r="D46" s="133" t="str">
        <f>'ADU-14'!$B$9</f>
        <v>Chaudière biomasse</v>
      </c>
      <c r="E46" s="133" t="str">
        <f>'ADU-14'!$B$4</f>
        <v>Logement</v>
      </c>
      <c r="F46" s="133" t="str">
        <f>'ADU-14'!$B$12</f>
        <v>Citoyen</v>
      </c>
      <c r="G46" s="133" t="str">
        <f>'ADU-14'!$B$6</f>
        <v>Fonds propres</v>
      </c>
      <c r="H46" s="134">
        <f>'ADU-14'!$B$17</f>
        <v>300000</v>
      </c>
      <c r="I46" s="133" t="str">
        <f>'ADU-14'!$B$7</f>
        <v>Primes RW</v>
      </c>
      <c r="J46" s="134">
        <f>'ADU-14'!$B$18</f>
        <v>16000</v>
      </c>
      <c r="K46" s="134">
        <f>'ADU-14'!$B$21</f>
        <v>20983.42108636854</v>
      </c>
      <c r="L46" s="134">
        <f>'ADU-14'!$B$22</f>
        <v>0</v>
      </c>
      <c r="M46" s="135">
        <f>'ADU-14'!$B$24</f>
        <v>13.534494629405065</v>
      </c>
      <c r="N46" s="135">
        <f>'ADU-14'!$B$20/1000</f>
        <v>299.76315837669341</v>
      </c>
      <c r="O46" s="136"/>
      <c r="P46" s="137" t="str">
        <f>'ADU-14'!$B$5</f>
        <v>A faire</v>
      </c>
      <c r="Q46" s="140">
        <f>'ADU-14'!$B$16</f>
        <v>2030</v>
      </c>
      <c r="R46" s="283" t="str">
        <f t="shared" si="53"/>
        <v/>
      </c>
      <c r="S46" s="138">
        <f t="shared" si="54"/>
        <v>0</v>
      </c>
      <c r="T46" s="138">
        <f t="shared" si="55"/>
        <v>0</v>
      </c>
      <c r="U46" s="138">
        <f t="shared" si="56"/>
        <v>0</v>
      </c>
      <c r="V46" s="138">
        <f t="shared" si="57"/>
        <v>0</v>
      </c>
      <c r="W46" s="138">
        <f t="shared" si="58"/>
        <v>0</v>
      </c>
      <c r="X46" s="138">
        <f t="shared" si="59"/>
        <v>0</v>
      </c>
      <c r="Y46" s="138">
        <f t="shared" si="60"/>
        <v>0</v>
      </c>
    </row>
    <row r="47" spans="1:73" s="139" customFormat="1" x14ac:dyDescent="0.25">
      <c r="A47" s="369" t="s">
        <v>89</v>
      </c>
      <c r="B47" s="414" t="str">
        <f>'ADU-15'!B$3:E$3</f>
        <v>Performance énergétique</v>
      </c>
      <c r="C47" s="419" t="str">
        <f>'ADU-15'!$B$8</f>
        <v xml:space="preserve">Logements </v>
      </c>
      <c r="D47" s="133" t="str">
        <f>'ADU-15'!$B$9</f>
        <v xml:space="preserve"> Chauffage d'appoint biomasse</v>
      </c>
      <c r="E47" s="133" t="str">
        <f>'ADU-15'!$B$4</f>
        <v>Logement</v>
      </c>
      <c r="F47" s="133" t="str">
        <f>'ADU-15'!$B$12</f>
        <v>Citoyen</v>
      </c>
      <c r="G47" s="133" t="str">
        <f>'ADU-15'!$B$6</f>
        <v>Fonds propres</v>
      </c>
      <c r="H47" s="134">
        <f>'ADU-15'!$B$17</f>
        <v>2500000</v>
      </c>
      <c r="I47" s="133" t="str">
        <f>'ADU-15'!$B$7</f>
        <v>Primes RW</v>
      </c>
      <c r="J47" s="134">
        <f>'ADU-15'!$B$18</f>
        <v>400000</v>
      </c>
      <c r="K47" s="134">
        <f>'ADU-15'!$B$21</f>
        <v>496999.99999999994</v>
      </c>
      <c r="L47" s="134">
        <f>'ADU-15'!$B$22</f>
        <v>0</v>
      </c>
      <c r="M47" s="135">
        <f>'ADU-15'!$B$24</f>
        <v>4.2253521126760569</v>
      </c>
      <c r="N47" s="135">
        <f>'ADU-15'!$B$20/1000</f>
        <v>7100</v>
      </c>
      <c r="O47" s="136"/>
      <c r="P47" s="137" t="str">
        <f>'ADU-15'!$B$5</f>
        <v>A faire</v>
      </c>
      <c r="Q47" s="140">
        <f>'ADU-15'!$B$16</f>
        <v>2030</v>
      </c>
      <c r="R47" s="283" t="str">
        <f t="shared" si="53"/>
        <v/>
      </c>
      <c r="S47" s="138">
        <f t="shared" si="54"/>
        <v>0</v>
      </c>
      <c r="T47" s="138">
        <f t="shared" si="55"/>
        <v>0</v>
      </c>
      <c r="U47" s="138">
        <f t="shared" si="56"/>
        <v>0</v>
      </c>
      <c r="V47" s="138">
        <f t="shared" si="57"/>
        <v>0</v>
      </c>
      <c r="W47" s="138">
        <f t="shared" si="58"/>
        <v>0</v>
      </c>
      <c r="X47" s="138">
        <f t="shared" si="59"/>
        <v>0</v>
      </c>
      <c r="Y47" s="138">
        <f t="shared" si="60"/>
        <v>0</v>
      </c>
    </row>
    <row r="48" spans="1:73" s="139" customFormat="1" x14ac:dyDescent="0.25">
      <c r="A48" s="369" t="s">
        <v>90</v>
      </c>
      <c r="B48" s="414" t="str">
        <f>'ADU-16'!B$3:E$3</f>
        <v>Performance énergétique</v>
      </c>
      <c r="C48" s="419" t="str">
        <f>'ADU-16'!$B$8</f>
        <v>Logement</v>
      </c>
      <c r="D48" s="133" t="str">
        <f>'ADU-16'!$B$9</f>
        <v>Pompes à chaleur GEO</v>
      </c>
      <c r="E48" s="133" t="str">
        <f>'ADU-16'!$B$4</f>
        <v>Logement</v>
      </c>
      <c r="F48" s="133" t="str">
        <f>'ADU-16'!$B$12</f>
        <v>Citoyen</v>
      </c>
      <c r="G48" s="133" t="str">
        <f>'ADU-16'!$B$6</f>
        <v>ECOPÄCK</v>
      </c>
      <c r="H48" s="134">
        <f>'ADU-16'!$B$17</f>
        <v>90000</v>
      </c>
      <c r="I48" s="133" t="str">
        <f>'ADU-16'!$B$7</f>
        <v>Néant</v>
      </c>
      <c r="J48" s="134">
        <f>'ADU-16'!$B$18</f>
        <v>0</v>
      </c>
      <c r="K48" s="134">
        <f>'ADU-16'!$B$21</f>
        <v>2100</v>
      </c>
      <c r="L48" s="134">
        <f>'ADU-16'!$B$22</f>
        <v>0</v>
      </c>
      <c r="M48" s="135">
        <f>'ADU-16'!$B$24</f>
        <v>9.5238095238095237</v>
      </c>
      <c r="N48" s="135">
        <f>'ADU-16'!$B$20/1000</f>
        <v>27.053140096618357</v>
      </c>
      <c r="O48" s="136">
        <f>IF(H48=0,0,N48/(H48-J48)*1000)</f>
        <v>0.30059044551798175</v>
      </c>
      <c r="P48" s="137" t="str">
        <f>'ADU-16'!$B$5</f>
        <v>A faire</v>
      </c>
      <c r="Q48" s="140">
        <f>'ADU-16'!$B$16</f>
        <v>2030</v>
      </c>
      <c r="R48" s="283" t="str">
        <f t="shared" si="53"/>
        <v/>
      </c>
      <c r="S48" s="138">
        <f t="shared" si="54"/>
        <v>0</v>
      </c>
      <c r="T48" s="138">
        <f t="shared" si="55"/>
        <v>0</v>
      </c>
      <c r="U48" s="138">
        <f t="shared" si="56"/>
        <v>0</v>
      </c>
      <c r="V48" s="138">
        <f t="shared" si="57"/>
        <v>0</v>
      </c>
      <c r="W48" s="138">
        <f t="shared" si="58"/>
        <v>0</v>
      </c>
      <c r="X48" s="138">
        <f t="shared" si="59"/>
        <v>0</v>
      </c>
      <c r="Y48" s="138">
        <f t="shared" si="60"/>
        <v>0</v>
      </c>
    </row>
    <row r="49" spans="1:25" s="139" customFormat="1" x14ac:dyDescent="0.25">
      <c r="A49" s="369" t="s">
        <v>91</v>
      </c>
      <c r="B49" s="414" t="str">
        <f>'ADU-17'!B$3:E$3</f>
        <v>Performance énergétique</v>
      </c>
      <c r="C49" s="419" t="str">
        <f>'ADU-17'!$B$8</f>
        <v>Logement</v>
      </c>
      <c r="D49" s="133" t="str">
        <f>'ADU-17'!$B$9</f>
        <v>Pompes à chaleur A-A</v>
      </c>
      <c r="E49" s="133" t="str">
        <f>'ADU-17'!$B$4</f>
        <v>Logement</v>
      </c>
      <c r="F49" s="133" t="str">
        <f>'ADU-17'!$B$12</f>
        <v>Citoyen</v>
      </c>
      <c r="G49" s="133" t="str">
        <f>'ADU-17'!$B$6</f>
        <v>ECOPÄCK</v>
      </c>
      <c r="H49" s="134">
        <f>'ADU-17'!$B$17</f>
        <v>55000</v>
      </c>
      <c r="I49" s="133" t="str">
        <f>'ADU-17'!$B$7</f>
        <v>Néant</v>
      </c>
      <c r="J49" s="134">
        <f>'ADU-17'!$B$18</f>
        <v>0</v>
      </c>
      <c r="K49" s="134">
        <f>'ADU-17'!$B$21</f>
        <v>3365.2173913043475</v>
      </c>
      <c r="L49" s="134">
        <f>'ADU-17'!$B$22</f>
        <v>0</v>
      </c>
      <c r="M49" s="135">
        <f>'ADU-17'!$B$24</f>
        <v>2.9715762273901811</v>
      </c>
      <c r="N49" s="135">
        <f>'ADU-17'!$B$20/1000</f>
        <v>48.074534161490682</v>
      </c>
      <c r="O49" s="136"/>
      <c r="P49" s="137" t="str">
        <f>'ADU-17'!$B$5</f>
        <v>A faire</v>
      </c>
      <c r="Q49" s="140">
        <f>'ADU-17'!$B$16</f>
        <v>2030</v>
      </c>
      <c r="R49" s="283" t="str">
        <f t="shared" si="53"/>
        <v/>
      </c>
      <c r="S49" s="138">
        <f t="shared" si="54"/>
        <v>0</v>
      </c>
      <c r="T49" s="138">
        <f t="shared" si="55"/>
        <v>0</v>
      </c>
      <c r="U49" s="138">
        <f t="shared" si="56"/>
        <v>0</v>
      </c>
      <c r="V49" s="138">
        <f t="shared" si="57"/>
        <v>0</v>
      </c>
      <c r="W49" s="138">
        <f t="shared" si="58"/>
        <v>0</v>
      </c>
      <c r="X49" s="138">
        <f t="shared" si="59"/>
        <v>0</v>
      </c>
      <c r="Y49" s="138">
        <f t="shared" si="60"/>
        <v>0</v>
      </c>
    </row>
    <row r="50" spans="1:25" s="139" customFormat="1" x14ac:dyDescent="0.25">
      <c r="A50" s="369" t="s">
        <v>92</v>
      </c>
      <c r="B50" s="414" t="str">
        <f>'ADU-18'!B$3:E$3</f>
        <v>Performance énergétique</v>
      </c>
      <c r="C50" s="419" t="str">
        <f>'ADU-18'!$B$8</f>
        <v>Logement</v>
      </c>
      <c r="D50" s="133" t="str">
        <f>'ADU-18'!$B$9</f>
        <v>Pompes à chaleur A-E</v>
      </c>
      <c r="E50" s="133" t="str">
        <f>'ADU-18'!$B$4</f>
        <v>Logement</v>
      </c>
      <c r="F50" s="133" t="str">
        <f>'ADU-18'!$B$12</f>
        <v>Citoyen</v>
      </c>
      <c r="G50" s="133" t="str">
        <f>'ADU-18'!$B$6</f>
        <v>ECOPÄCK</v>
      </c>
      <c r="H50" s="134">
        <f>'ADU-18'!$B$17</f>
        <v>400000</v>
      </c>
      <c r="I50" s="133" t="str">
        <f>'ADU-17'!$B$7</f>
        <v>Néant</v>
      </c>
      <c r="J50" s="134">
        <f>'ADU-18'!$B$18</f>
        <v>0</v>
      </c>
      <c r="K50" s="134">
        <f>'ADU-18'!$B$21</f>
        <v>17299.771167048053</v>
      </c>
      <c r="L50" s="134">
        <f>'ADU-18'!$B$22</f>
        <v>0</v>
      </c>
      <c r="M50" s="135">
        <f>'ADU-18'!$B$24</f>
        <v>10.115740740740742</v>
      </c>
      <c r="N50" s="135">
        <f>'ADU-18'!$B$20/1000</f>
        <v>247.1395881006865</v>
      </c>
      <c r="O50" s="136"/>
      <c r="P50" s="137" t="str">
        <f>'ADU-18'!$B$5</f>
        <v>A faire</v>
      </c>
      <c r="Q50" s="140">
        <f>'ADU-18'!$B$16</f>
        <v>2030</v>
      </c>
      <c r="R50" s="283" t="str">
        <f t="shared" si="53"/>
        <v/>
      </c>
      <c r="S50" s="138">
        <f t="shared" si="54"/>
        <v>0</v>
      </c>
      <c r="T50" s="138">
        <f t="shared" si="55"/>
        <v>0</v>
      </c>
      <c r="U50" s="138">
        <f t="shared" si="56"/>
        <v>0</v>
      </c>
      <c r="V50" s="138">
        <f t="shared" si="57"/>
        <v>0</v>
      </c>
      <c r="W50" s="138">
        <f t="shared" si="58"/>
        <v>0</v>
      </c>
      <c r="X50" s="138">
        <f t="shared" si="59"/>
        <v>0</v>
      </c>
      <c r="Y50" s="138">
        <f t="shared" si="60"/>
        <v>0</v>
      </c>
    </row>
    <row r="51" spans="1:25" s="139" customFormat="1" x14ac:dyDescent="0.25">
      <c r="A51" s="369" t="s">
        <v>93</v>
      </c>
      <c r="B51" s="414" t="str">
        <f>'ADU-19'!B$3:E$3</f>
        <v>Performance énergétique</v>
      </c>
      <c r="C51" s="419" t="str">
        <f>'ADU-19'!$B$8</f>
        <v>Logement</v>
      </c>
      <c r="D51" s="133" t="str">
        <f>'ADU-19'!$B$9</f>
        <v>Pompes à chaleur A-E pour ECS</v>
      </c>
      <c r="E51" s="133" t="str">
        <f>'ADU-19'!$B$4</f>
        <v>Logement</v>
      </c>
      <c r="F51" s="133" t="str">
        <f>'ADU-19'!$B$12</f>
        <v>Citoyen</v>
      </c>
      <c r="G51" s="133" t="str">
        <f>'ADU-19'!$B$6</f>
        <v>ECOPÄCK</v>
      </c>
      <c r="H51" s="134">
        <f>'ADU-19'!$B$17</f>
        <v>700000</v>
      </c>
      <c r="I51" s="133" t="str">
        <f>'ADU-19'!$B$7</f>
        <v>Primes RW</v>
      </c>
      <c r="J51" s="134">
        <f>'ADU-19'!$B$18</f>
        <v>80000</v>
      </c>
      <c r="K51" s="134">
        <f>'ADU-19'!$B$21</f>
        <v>24796.33867276887</v>
      </c>
      <c r="L51" s="134">
        <f>'ADU-19'!$B$22</f>
        <v>0</v>
      </c>
      <c r="M51" s="135">
        <f>'ADU-19'!$B$24</f>
        <v>6.855850867478777</v>
      </c>
      <c r="N51" s="135">
        <f>'ADU-19'!$B$20/1000</f>
        <v>288.32951945080083</v>
      </c>
      <c r="O51" s="136"/>
      <c r="P51" s="137" t="str">
        <f>'ADU-19'!$B$5</f>
        <v>A faire</v>
      </c>
      <c r="Q51" s="140">
        <f>'ADU-19'!$B$16</f>
        <v>2030</v>
      </c>
      <c r="R51" s="283" t="str">
        <f t="shared" si="53"/>
        <v/>
      </c>
      <c r="S51" s="138">
        <f t="shared" si="54"/>
        <v>0</v>
      </c>
      <c r="T51" s="138">
        <f t="shared" si="55"/>
        <v>0</v>
      </c>
      <c r="U51" s="138">
        <f t="shared" si="56"/>
        <v>0</v>
      </c>
      <c r="V51" s="138">
        <f t="shared" si="57"/>
        <v>0</v>
      </c>
      <c r="W51" s="138">
        <f t="shared" si="58"/>
        <v>0</v>
      </c>
      <c r="X51" s="138">
        <f t="shared" si="59"/>
        <v>0</v>
      </c>
      <c r="Y51" s="138">
        <f t="shared" si="60"/>
        <v>0</v>
      </c>
    </row>
    <row r="52" spans="1:25" s="139" customFormat="1" x14ac:dyDescent="0.25">
      <c r="A52" s="369" t="s">
        <v>94</v>
      </c>
      <c r="B52" s="414" t="str">
        <f>'ADU-20'!B$3:E$3</f>
        <v>Performance énergétique</v>
      </c>
      <c r="C52" s="419" t="str">
        <f>'ADU-20'!$B$8</f>
        <v>Bâtiments communaux</v>
      </c>
      <c r="D52" s="133" t="str">
        <f>'ADU-20'!$B$9</f>
        <v xml:space="preserve">Isolation </v>
      </c>
      <c r="E52" s="133" t="str">
        <f>'ADU-20'!$B$4</f>
        <v>Communal</v>
      </c>
      <c r="F52" s="133" t="str">
        <f>'ADU-20'!$B$12</f>
        <v>AC MESSANCY</v>
      </c>
      <c r="G52" s="133" t="str">
        <f>'ADU-20'!$B$6</f>
        <v>Prêt bancaire</v>
      </c>
      <c r="H52" s="134">
        <f>'ADU-20'!$B$17</f>
        <v>400000</v>
      </c>
      <c r="I52" s="133" t="str">
        <f>'ADU-20'!$B$7</f>
        <v>Subs RW</v>
      </c>
      <c r="J52" s="134">
        <f>'ADU-20'!$B$18</f>
        <v>240000</v>
      </c>
      <c r="K52" s="134">
        <f>'ADU-20'!$B$21</f>
        <v>8887.5499999999993</v>
      </c>
      <c r="L52" s="134">
        <f>'ADU-20'!$B$22</f>
        <v>0</v>
      </c>
      <c r="M52" s="135">
        <f>'ADU-20'!$B$24</f>
        <v>18.002711658443555</v>
      </c>
      <c r="N52" s="135">
        <f>'ADU-20'!$B$20/1000</f>
        <v>0</v>
      </c>
      <c r="O52" s="136"/>
      <c r="P52" s="137" t="str">
        <f>'ADU-21'!$B$5</f>
        <v>A faire</v>
      </c>
      <c r="Q52" s="140">
        <f>'ADU-21'!$B$16</f>
        <v>2030</v>
      </c>
      <c r="R52" s="283" t="str">
        <f t="shared" si="53"/>
        <v/>
      </c>
      <c r="S52" s="138">
        <f t="shared" si="54"/>
        <v>0</v>
      </c>
      <c r="T52" s="138">
        <f t="shared" si="55"/>
        <v>0</v>
      </c>
      <c r="U52" s="138">
        <f t="shared" si="56"/>
        <v>0</v>
      </c>
      <c r="V52" s="138">
        <f t="shared" si="57"/>
        <v>0</v>
      </c>
      <c r="W52" s="138">
        <f t="shared" si="58"/>
        <v>0</v>
      </c>
      <c r="X52" s="138">
        <f t="shared" si="59"/>
        <v>0</v>
      </c>
      <c r="Y52" s="138">
        <f t="shared" si="60"/>
        <v>0</v>
      </c>
    </row>
    <row r="53" spans="1:25" s="139" customFormat="1" x14ac:dyDescent="0.25">
      <c r="A53" s="369" t="s">
        <v>95</v>
      </c>
      <c r="B53" s="414" t="str">
        <f>'ADU-21'!B$3:E$3</f>
        <v>Performance énergétique</v>
      </c>
      <c r="C53" s="419" t="str">
        <f>'ADU-21'!$B$8</f>
        <v>Bâtiments communaux</v>
      </c>
      <c r="D53" s="133" t="str">
        <f>'ADU-21'!$B$9</f>
        <v>Régulation de chauffage</v>
      </c>
      <c r="E53" s="133" t="str">
        <f>'ADU-21'!$B$4</f>
        <v>Communal</v>
      </c>
      <c r="F53" s="133" t="str">
        <f>'ADU-21'!$B$12</f>
        <v>AC MESSANCY</v>
      </c>
      <c r="G53" s="133" t="str">
        <f>'ADU-21'!$B$6</f>
        <v>Prêt bancaire</v>
      </c>
      <c r="H53" s="134">
        <f>'ADU-21'!$B$17</f>
        <v>110743.87</v>
      </c>
      <c r="I53" s="133" t="str">
        <f>'ADU-21'!$B$7</f>
        <v>Subs RW</v>
      </c>
      <c r="J53" s="134">
        <f>'ADU-21'!$B$18</f>
        <v>66446.322</v>
      </c>
      <c r="K53" s="134">
        <f>'ADU-21'!$B$21</f>
        <v>9365.2999999999993</v>
      </c>
      <c r="L53" s="134">
        <f>'ADU-21'!$B$22</f>
        <v>0</v>
      </c>
      <c r="M53" s="135">
        <f>'ADU-21'!$B$24</f>
        <v>4.7299657245363198</v>
      </c>
      <c r="N53" s="220">
        <f>'ADU-21'!$B$20/1000</f>
        <v>0</v>
      </c>
      <c r="O53" s="136">
        <f>IF(H53=0,0,N53/(H53-J53)*1000)</f>
        <v>0</v>
      </c>
      <c r="P53" s="137" t="str">
        <f>'ADU-21'!$B$5</f>
        <v>A faire</v>
      </c>
      <c r="Q53" s="140">
        <f>'ADU-21'!$B$16</f>
        <v>2030</v>
      </c>
      <c r="R53" s="283"/>
      <c r="S53" s="138"/>
      <c r="T53" s="138"/>
      <c r="U53" s="138"/>
      <c r="V53" s="138"/>
      <c r="W53" s="138"/>
      <c r="X53" s="138"/>
      <c r="Y53" s="138"/>
    </row>
    <row r="54" spans="1:25" s="139" customFormat="1" x14ac:dyDescent="0.25">
      <c r="A54" s="369" t="s">
        <v>96</v>
      </c>
      <c r="B54" s="414" t="str">
        <f>'ADU-22'!B$3:E$3</f>
        <v>Performance énergétique</v>
      </c>
      <c r="C54" s="419" t="str">
        <f>'ADU-22'!$B$8</f>
        <v>Bâtiments agricoles</v>
      </c>
      <c r="D54" s="133" t="str">
        <f>'ADU-22'!$B$9</f>
        <v>Diagnostics énergétiques</v>
      </c>
      <c r="E54" s="133" t="str">
        <f>'ADU-22'!$B$4</f>
        <v>Agriculture</v>
      </c>
      <c r="F54" s="133" t="str">
        <f>'ADU-22'!$B$12</f>
        <v>Agriculture</v>
      </c>
      <c r="G54" s="133" t="str">
        <f>'ADU-22'!$B$6</f>
        <v>Fonds propres</v>
      </c>
      <c r="H54" s="134">
        <f>'ADU-22'!$B$17</f>
        <v>18000</v>
      </c>
      <c r="I54" s="133" t="str">
        <f>'ADU-22'!$B$7</f>
        <v>Néant</v>
      </c>
      <c r="J54" s="134">
        <f>'ADU-22'!$B$18</f>
        <v>0</v>
      </c>
      <c r="K54" s="134">
        <f>'ADU-22'!$B$21</f>
        <v>19174.776271985571</v>
      </c>
      <c r="L54" s="134">
        <f>'ADU-22'!$B$22</f>
        <v>0</v>
      </c>
      <c r="M54" s="135">
        <f>'ADU-22'!$B$24</f>
        <v>0.93873324750589537</v>
      </c>
      <c r="N54" s="135">
        <f>'ADU-22'!$B$20/1000</f>
        <v>0</v>
      </c>
      <c r="O54" s="136"/>
      <c r="P54" s="137" t="str">
        <f>'ADU-22'!$B$5</f>
        <v>A faire</v>
      </c>
      <c r="Q54" s="140">
        <f>'ADU-22'!$B$16</f>
        <v>2025</v>
      </c>
      <c r="R54" s="283" t="str">
        <f t="shared" ref="R54:R70" si="61">IF(P54="terminé", N54,"")</f>
        <v/>
      </c>
      <c r="S54" s="138">
        <f t="shared" ref="S54:S70" si="62">IF((P54="Terminé")*AND(E54="Territoire"),N54,0)</f>
        <v>0</v>
      </c>
      <c r="T54" s="138">
        <f t="shared" ref="T54:T70" si="63">IF((P54="Terminé")*AND(E54="Agriculture"),N54,0)</f>
        <v>0</v>
      </c>
      <c r="U54" s="138">
        <f t="shared" ref="U54:U70" si="64">IF((P54="Terminé")*AND(E54="Industrie"), N54,0)</f>
        <v>0</v>
      </c>
      <c r="V54" s="138">
        <f t="shared" ref="V54:V70" si="65">IF((P54="Terminé")*AND(E54="Logement"),N54,0)</f>
        <v>0</v>
      </c>
      <c r="W54" s="138">
        <f t="shared" ref="W54:W70" si="66">IF((P54="Terminé")*AND(E54="Tertiaire"),N54,0)</f>
        <v>0</v>
      </c>
      <c r="X54" s="138">
        <f t="shared" ref="X54:X70" si="67">IF((P54="Terminé")*AND(E54="Transport"),N54,0)</f>
        <v>0</v>
      </c>
      <c r="Y54" s="138">
        <f t="shared" ref="Y54:Y70" si="68">IF((P54="Terminé")*AND(E54="Communal"),N54,0)</f>
        <v>0</v>
      </c>
    </row>
    <row r="55" spans="1:25" s="139" customFormat="1" x14ac:dyDescent="0.25">
      <c r="A55" s="369" t="s">
        <v>97</v>
      </c>
      <c r="B55" s="414" t="str">
        <f>'ADU-23'!B$3:E$3</f>
        <v>Performance énergétique</v>
      </c>
      <c r="C55" s="419" t="str">
        <f>'ADU-23'!$B$8</f>
        <v>Processus de fabrication</v>
      </c>
      <c r="D55" s="133" t="str">
        <f>'ADU-23'!$B$9</f>
        <v xml:space="preserve">Réduction des consommations </v>
      </c>
      <c r="E55" s="133" t="str">
        <f>'ADU-23'!$B$4</f>
        <v>Industrie</v>
      </c>
      <c r="F55" s="133" t="str">
        <f>'ADU-23'!$B$12</f>
        <v>Industrie</v>
      </c>
      <c r="G55" s="133" t="str">
        <f>'ADU-23'!$B$6</f>
        <v>Fonds propres</v>
      </c>
      <c r="H55" s="134">
        <f>'ADU-23'!$B$17</f>
        <v>20000</v>
      </c>
      <c r="I55" s="133" t="str">
        <f>'ADU-23'!$B$7</f>
        <v>Néant</v>
      </c>
      <c r="J55" s="134">
        <f>'ADU-23'!$B$18</f>
        <v>0</v>
      </c>
      <c r="K55" s="134">
        <f>'ADU-23'!$B$21</f>
        <v>405610.29652933386</v>
      </c>
      <c r="L55" s="134">
        <f>'ADU-23'!$B$22</f>
        <v>0</v>
      </c>
      <c r="M55" s="135">
        <f>'ADU-23'!$B$24</f>
        <v>4.930841295483137E-2</v>
      </c>
      <c r="N55" s="135">
        <f>'ADU-23'!$B$20/1000</f>
        <v>0</v>
      </c>
      <c r="O55" s="136"/>
      <c r="P55" s="137" t="str">
        <f>'ADU-23'!$B$5</f>
        <v>A faire</v>
      </c>
      <c r="Q55" s="140">
        <f>'ADU-23'!$B$16</f>
        <v>2030</v>
      </c>
      <c r="R55" s="283" t="str">
        <f t="shared" si="61"/>
        <v/>
      </c>
      <c r="S55" s="138">
        <f t="shared" si="62"/>
        <v>0</v>
      </c>
      <c r="T55" s="138">
        <f t="shared" si="63"/>
        <v>0</v>
      </c>
      <c r="U55" s="138">
        <f t="shared" si="64"/>
        <v>0</v>
      </c>
      <c r="V55" s="138">
        <f t="shared" si="65"/>
        <v>0</v>
      </c>
      <c r="W55" s="138">
        <f t="shared" si="66"/>
        <v>0</v>
      </c>
      <c r="X55" s="138">
        <f t="shared" si="67"/>
        <v>0</v>
      </c>
      <c r="Y55" s="138">
        <f t="shared" si="68"/>
        <v>0</v>
      </c>
    </row>
    <row r="56" spans="1:25" s="139" customFormat="1" x14ac:dyDescent="0.25">
      <c r="A56" s="369" t="s">
        <v>99</v>
      </c>
      <c r="B56" s="414" t="str">
        <f>'ADU-24'!B$3:E$3</f>
        <v>Performance énergétique</v>
      </c>
      <c r="C56" s="419" t="str">
        <f>'ADU-24'!$B$8</f>
        <v>Bâtiments tertiaires</v>
      </c>
      <c r="D56" s="133" t="str">
        <f>'ADU-24'!$B$9</f>
        <v xml:space="preserve">Performance énergétique </v>
      </c>
      <c r="E56" s="133" t="str">
        <f>'ADU-24'!$B$4</f>
        <v>Tertiaire</v>
      </c>
      <c r="F56" s="133" t="str">
        <f>'ADU-24'!$B$12</f>
        <v>Tertiaire</v>
      </c>
      <c r="G56" s="133" t="str">
        <f>'ADU-24'!$B$6</f>
        <v>Fonds propres</v>
      </c>
      <c r="H56" s="134">
        <f>'ADU-24'!$B$17</f>
        <v>20000</v>
      </c>
      <c r="I56" s="133" t="str">
        <f>'ADU-24'!$B$7</f>
        <v>Néant</v>
      </c>
      <c r="J56" s="134">
        <f>'ADU-24'!$B$18</f>
        <v>0</v>
      </c>
      <c r="K56" s="134">
        <f>'ADU-24'!$B$21</f>
        <v>131957.41576785903</v>
      </c>
      <c r="L56" s="134">
        <f>'ADU-24'!$B$22</f>
        <v>0</v>
      </c>
      <c r="M56" s="135">
        <f>'ADU-24'!$B$24</f>
        <v>0.15156404726191536</v>
      </c>
      <c r="N56" s="135">
        <f>'ADU-24'!$B$20/1000</f>
        <v>0</v>
      </c>
      <c r="O56" s="136"/>
      <c r="P56" s="137" t="str">
        <f>'ADU-24'!$B$5</f>
        <v>A faire</v>
      </c>
      <c r="Q56" s="140">
        <f>'ADU-24'!$B$16</f>
        <v>2030</v>
      </c>
      <c r="R56" s="283" t="str">
        <f t="shared" si="61"/>
        <v/>
      </c>
      <c r="S56" s="138">
        <f t="shared" si="62"/>
        <v>0</v>
      </c>
      <c r="T56" s="138">
        <f t="shared" si="63"/>
        <v>0</v>
      </c>
      <c r="U56" s="138">
        <f t="shared" si="64"/>
        <v>0</v>
      </c>
      <c r="V56" s="138">
        <f t="shared" si="65"/>
        <v>0</v>
      </c>
      <c r="W56" s="138">
        <f t="shared" si="66"/>
        <v>0</v>
      </c>
      <c r="X56" s="138">
        <f t="shared" si="67"/>
        <v>0</v>
      </c>
      <c r="Y56" s="138">
        <f t="shared" si="68"/>
        <v>0</v>
      </c>
    </row>
    <row r="57" spans="1:25" s="139" customFormat="1" x14ac:dyDescent="0.25">
      <c r="A57" s="369" t="s">
        <v>101</v>
      </c>
      <c r="B57" s="481" t="str">
        <f>'ADU-25'!B$3:E$3</f>
        <v>Performance énergétique</v>
      </c>
      <c r="C57" s="419" t="str">
        <f>'ADU-25'!$B$8</f>
        <v>Logement privés</v>
      </c>
      <c r="D57" s="133" t="str">
        <f>'ADU-25'!$B$9</f>
        <v>Renov'Energie</v>
      </c>
      <c r="E57" s="133" t="str">
        <f>'ADU-25'!$B$4</f>
        <v>Logement</v>
      </c>
      <c r="F57" s="133" t="str">
        <f>'ADU-25'!$B$12</f>
        <v>Citoyen</v>
      </c>
      <c r="G57" s="133" t="str">
        <f>'ADU-25'!$B$6</f>
        <v>ECOPÄCK</v>
      </c>
      <c r="H57" s="134">
        <f>'ADU-25'!$B$17</f>
        <v>825000</v>
      </c>
      <c r="I57" s="133" t="str">
        <f>'ADU-25'!$B$7</f>
        <v>Primes RW</v>
      </c>
      <c r="J57" s="134">
        <f>'ADU-25'!$B$18</f>
        <v>66000</v>
      </c>
      <c r="K57" s="134">
        <f>'ADU-25'!$B$21</f>
        <v>96673.618576483626</v>
      </c>
      <c r="L57" s="134">
        <f>'ADU-25'!$B$22</f>
        <v>0</v>
      </c>
      <c r="M57" s="135">
        <f>'ADU-25'!$B$24</f>
        <v>7.8511595115219031</v>
      </c>
      <c r="N57" s="135">
        <f>'ADU-25'!$B$20/1000</f>
        <v>0</v>
      </c>
      <c r="O57" s="136"/>
      <c r="P57" s="137" t="str">
        <f>'ADU-25'!$B$5</f>
        <v>A faire</v>
      </c>
      <c r="Q57" s="140">
        <f>'ADU-25'!$B$16</f>
        <v>2023</v>
      </c>
      <c r="R57" s="283" t="str">
        <f>IF(P57="terminé", N57,"")</f>
        <v/>
      </c>
      <c r="S57" s="138">
        <f>IF((P57="Terminé")*AND(E57="Territoire"),N57,0)</f>
        <v>0</v>
      </c>
      <c r="T57" s="138">
        <f>IF((P57="Terminé")*AND(E57="Agriculture"),N57,0)</f>
        <v>0</v>
      </c>
      <c r="U57" s="138">
        <f>IF((P57="Terminé")*AND(E57="Industrie"), N57,0)</f>
        <v>0</v>
      </c>
      <c r="V57" s="138">
        <f>IF((P57="Terminé")*AND(E57="Logement"),N57,0)</f>
        <v>0</v>
      </c>
      <c r="W57" s="138">
        <f>IF((P57="Terminé")*AND(E57="Tertiaire"),N57,0)</f>
        <v>0</v>
      </c>
      <c r="X57" s="138">
        <f>IF((P57="Terminé")*AND(E57="Transport"),N57,0)</f>
        <v>0</v>
      </c>
      <c r="Y57" s="138">
        <f>IF((P57="Terminé")*AND(E57="Communal"),N57,0)</f>
        <v>0</v>
      </c>
    </row>
    <row r="58" spans="1:25" s="139" customFormat="1" x14ac:dyDescent="0.25">
      <c r="A58" s="369" t="s">
        <v>190</v>
      </c>
      <c r="B58" s="578" t="str">
        <f>'ADU-26'!B$3:E$3</f>
        <v>Performance énergétique</v>
      </c>
      <c r="C58" s="419" t="str">
        <f>'ADU-26'!$B$8</f>
        <v>Processus de fabrication</v>
      </c>
      <c r="D58" s="133" t="str">
        <f>'ADU-26'!$B$9</f>
        <v>Economies d'énergie</v>
      </c>
      <c r="E58" s="133" t="str">
        <f>'ADU-26'!$B$4</f>
        <v>Industrie</v>
      </c>
      <c r="F58" s="133" t="str">
        <f>'ADU-26'!$B$12</f>
        <v>Industrie</v>
      </c>
      <c r="G58" s="133" t="str">
        <f>'ADU-26'!$B$6</f>
        <v>Fonds propres</v>
      </c>
      <c r="H58" s="134">
        <f>'ADU-26'!$B$17</f>
        <v>20000</v>
      </c>
      <c r="I58" s="133" t="str">
        <f>'ADU-26'!$B$7</f>
        <v>Néant</v>
      </c>
      <c r="J58" s="134">
        <f>'ADU-26'!$B$18</f>
        <v>0</v>
      </c>
      <c r="K58" s="134">
        <f>'ADU-26'!$B$21</f>
        <v>0</v>
      </c>
      <c r="L58" s="134">
        <f>'ADU-26'!$B$22</f>
        <v>0</v>
      </c>
      <c r="M58" s="135" t="e">
        <f>'ADU-26'!$B$24</f>
        <v>#DIV/0!</v>
      </c>
      <c r="N58" s="135">
        <f>'ADU-26'!$B$20/1000</f>
        <v>0</v>
      </c>
      <c r="O58" s="136"/>
      <c r="P58" s="137" t="str">
        <f>'ADU-26'!$B$5</f>
        <v>Terminé</v>
      </c>
      <c r="Q58" s="140">
        <f>'ADU-26'!$B$16</f>
        <v>2019</v>
      </c>
      <c r="R58" s="283">
        <f t="shared" ref="R58:R60" si="69">IF(P58="terminé", N58,"")</f>
        <v>0</v>
      </c>
      <c r="S58" s="138">
        <f t="shared" ref="S58:S60" si="70">IF((P58="Terminé")*AND(E58="Territoire"),N58,0)</f>
        <v>0</v>
      </c>
      <c r="T58" s="138">
        <f t="shared" ref="T58:T60" si="71">IF((P58="Terminé")*AND(E58="Agriculture"),N58,0)</f>
        <v>0</v>
      </c>
      <c r="U58" s="138">
        <f t="shared" ref="U58:U60" si="72">IF((P58="Terminé")*AND(E58="Industrie"), N58,0)</f>
        <v>0</v>
      </c>
      <c r="V58" s="138">
        <f t="shared" ref="V58:V60" si="73">IF((P58="Terminé")*AND(E58="Logement"),N58,0)</f>
        <v>0</v>
      </c>
      <c r="W58" s="138">
        <f t="shared" ref="W58:W60" si="74">IF((P58="Terminé")*AND(E58="Tertiaire"),N58,0)</f>
        <v>0</v>
      </c>
      <c r="X58" s="138">
        <f t="shared" ref="X58:X60" si="75">IF((P58="Terminé")*AND(E58="Transport"),N58,0)</f>
        <v>0</v>
      </c>
      <c r="Y58" s="138">
        <f t="shared" ref="Y58:Y60" si="76">IF((P58="Terminé")*AND(E58="Communal"),N58,0)</f>
        <v>0</v>
      </c>
    </row>
    <row r="59" spans="1:25" s="139" customFormat="1" x14ac:dyDescent="0.25">
      <c r="A59" s="369" t="s">
        <v>191</v>
      </c>
      <c r="B59" s="578" t="str">
        <f>'ADU-27'!B$3:E$3</f>
        <v>Performance énergétique</v>
      </c>
      <c r="C59" s="419" t="str">
        <f>'ADU-27'!$B$8</f>
        <v>Processus de fabrication</v>
      </c>
      <c r="D59" s="133" t="str">
        <f>'ADU-27'!$B$9</f>
        <v>Economies d'énergie</v>
      </c>
      <c r="E59" s="133" t="str">
        <f>'ADU-27'!$B$4</f>
        <v>Industrie</v>
      </c>
      <c r="F59" s="133" t="str">
        <f>'ADU-27'!$B$12</f>
        <v>Industrie</v>
      </c>
      <c r="G59" s="133" t="str">
        <f>'ADU-27'!$B$6</f>
        <v>Fonds propres</v>
      </c>
      <c r="H59" s="134">
        <f>'ADU-27'!$B$17</f>
        <v>20000</v>
      </c>
      <c r="I59" s="133" t="str">
        <f>'ADU-27'!$B$7</f>
        <v>Néant</v>
      </c>
      <c r="J59" s="134">
        <f>'ADU-27'!$B$18</f>
        <v>0</v>
      </c>
      <c r="K59" s="134">
        <f>'ADU-27'!$B$21</f>
        <v>0</v>
      </c>
      <c r="L59" s="134">
        <f>'ADU-27'!$B$22</f>
        <v>0</v>
      </c>
      <c r="M59" s="135" t="e">
        <f>'ADU-27'!$B$24</f>
        <v>#DIV/0!</v>
      </c>
      <c r="N59" s="135">
        <f>'ADU-27'!$B$20/1000</f>
        <v>0</v>
      </c>
      <c r="O59" s="136"/>
      <c r="P59" s="137" t="str">
        <f>'ADU-27'!$B$5</f>
        <v>Terminé</v>
      </c>
      <c r="Q59" s="140">
        <f>'ADU-27'!$B$16</f>
        <v>2019</v>
      </c>
      <c r="R59" s="283">
        <f t="shared" si="69"/>
        <v>0</v>
      </c>
      <c r="S59" s="138">
        <f t="shared" si="70"/>
        <v>0</v>
      </c>
      <c r="T59" s="138">
        <f t="shared" si="71"/>
        <v>0</v>
      </c>
      <c r="U59" s="138">
        <f t="shared" si="72"/>
        <v>0</v>
      </c>
      <c r="V59" s="138">
        <f t="shared" si="73"/>
        <v>0</v>
      </c>
      <c r="W59" s="138">
        <f t="shared" si="74"/>
        <v>0</v>
      </c>
      <c r="X59" s="138">
        <f t="shared" si="75"/>
        <v>0</v>
      </c>
      <c r="Y59" s="138">
        <f t="shared" si="76"/>
        <v>0</v>
      </c>
    </row>
    <row r="60" spans="1:25" s="139" customFormat="1" x14ac:dyDescent="0.25">
      <c r="A60" s="369" t="s">
        <v>208</v>
      </c>
      <c r="B60" s="578" t="str">
        <f>'ADU-28'!B$3:E$3</f>
        <v>Performance énergétique</v>
      </c>
      <c r="C60" s="419" t="str">
        <f>'ADU-28'!$B$8</f>
        <v>Bâtiments tertiaires</v>
      </c>
      <c r="D60" s="133" t="str">
        <f>'ADU-28'!$B$9</f>
        <v>Performance énergétique</v>
      </c>
      <c r="E60" s="133" t="str">
        <f>'ADU-28'!$B$4</f>
        <v>Tertiaire</v>
      </c>
      <c r="F60" s="133" t="str">
        <f>'ADU-28'!$B$12</f>
        <v>Tertiaire</v>
      </c>
      <c r="G60" s="133" t="str">
        <f>'ADU-28'!$B$6</f>
        <v>Fonds propres</v>
      </c>
      <c r="H60" s="134">
        <f>'ADU-28'!$B$17</f>
        <v>20000</v>
      </c>
      <c r="I60" s="133" t="str">
        <f>'ADU-28'!$B$7</f>
        <v>Néant</v>
      </c>
      <c r="J60" s="134">
        <f>'ADU-28'!$B$18</f>
        <v>0</v>
      </c>
      <c r="K60" s="134">
        <f>'ADU-28'!$B$21</f>
        <v>0</v>
      </c>
      <c r="L60" s="134">
        <f>'ADU-28'!$B$22</f>
        <v>0</v>
      </c>
      <c r="M60" s="135" t="e">
        <f>'ADU-28'!$B$24</f>
        <v>#DIV/0!</v>
      </c>
      <c r="N60" s="135">
        <f>'ADU-28'!$B$20/1000</f>
        <v>0</v>
      </c>
      <c r="O60" s="136"/>
      <c r="P60" s="137" t="str">
        <f>'ADU-28'!$B$5</f>
        <v>Terminé</v>
      </c>
      <c r="Q60" s="140">
        <f>'ADU-28'!$B$16</f>
        <v>2019</v>
      </c>
      <c r="R60" s="283">
        <f t="shared" si="69"/>
        <v>0</v>
      </c>
      <c r="S60" s="138">
        <f t="shared" si="70"/>
        <v>0</v>
      </c>
      <c r="T60" s="138">
        <f t="shared" si="71"/>
        <v>0</v>
      </c>
      <c r="U60" s="138">
        <f t="shared" si="72"/>
        <v>0</v>
      </c>
      <c r="V60" s="138">
        <f t="shared" si="73"/>
        <v>0</v>
      </c>
      <c r="W60" s="138">
        <f t="shared" si="74"/>
        <v>0</v>
      </c>
      <c r="X60" s="138">
        <f t="shared" si="75"/>
        <v>0</v>
      </c>
      <c r="Y60" s="138">
        <f t="shared" si="76"/>
        <v>0</v>
      </c>
    </row>
    <row r="61" spans="1:25" s="139" customFormat="1" x14ac:dyDescent="0.25">
      <c r="A61" s="369" t="s">
        <v>103</v>
      </c>
      <c r="B61" s="441" t="str">
        <f>'ADU-30'!B$3:E$3</f>
        <v>Performance énergétique</v>
      </c>
      <c r="C61" s="419" t="str">
        <f>'ADU-30'!$B$8</f>
        <v>Bâtiments communaux</v>
      </c>
      <c r="D61" s="133" t="str">
        <f>'ADU-30'!$B$9</f>
        <v>Economies d'énergie - Electricité</v>
      </c>
      <c r="E61" s="133" t="str">
        <f>'ADU-30'!$B$4</f>
        <v>Communal</v>
      </c>
      <c r="F61" s="133" t="str">
        <f>'ADU-30'!$B$12</f>
        <v>AC MESSANCY</v>
      </c>
      <c r="G61" s="133" t="str">
        <f>'ADU-30'!$B$6</f>
        <v>Fonds propres</v>
      </c>
      <c r="H61" s="134">
        <f>'ADU-30'!$B$17</f>
        <v>49927.199999999997</v>
      </c>
      <c r="I61" s="133" t="str">
        <f>'ADU-30'!$B$7</f>
        <v>Subs RW</v>
      </c>
      <c r="J61" s="134">
        <f>'ADU-30'!$B$18</f>
        <v>17474.996999999999</v>
      </c>
      <c r="K61" s="134">
        <f>'ADU-30'!$B$21</f>
        <v>11531.699999999999</v>
      </c>
      <c r="L61" s="134">
        <f>'ADU-30'!$B$22</f>
        <v>0</v>
      </c>
      <c r="M61" s="135">
        <f>'ADU-30'!$B$24</f>
        <v>2.8141733655922372</v>
      </c>
      <c r="N61" s="220">
        <f>'ADU-30'!$B$20/1000</f>
        <v>0</v>
      </c>
      <c r="O61" s="136">
        <f>IF(H61=0,0,N61/(H61-J61)*1000)</f>
        <v>0</v>
      </c>
      <c r="P61" s="137" t="str">
        <f>'ADU-30'!$B$5</f>
        <v>A faire</v>
      </c>
      <c r="Q61" s="140">
        <f>'ADU-30'!$B$16</f>
        <v>2021</v>
      </c>
      <c r="R61" s="283" t="str">
        <f>IF(P61="terminé", N61,"")</f>
        <v/>
      </c>
      <c r="S61" s="138">
        <f>IF((P61="Terminé")*AND(E61="Territoire"),N61,0)</f>
        <v>0</v>
      </c>
      <c r="T61" s="138">
        <f>IF((P61="Terminé")*AND(E61="Agriculture"),N61,0)</f>
        <v>0</v>
      </c>
      <c r="U61" s="138">
        <f>IF((P61="Terminé")*AND(E61="Industrie"), N61,0)</f>
        <v>0</v>
      </c>
      <c r="V61" s="138">
        <f>IF((P61="Terminé")*AND(E61="Logement"),N61,0)</f>
        <v>0</v>
      </c>
      <c r="W61" s="138">
        <f>IF((P61="Terminé")*AND(E61="Tertiaire"),N61,0)</f>
        <v>0</v>
      </c>
      <c r="X61" s="138">
        <f>IF((P61="Terminé")*AND(E61="Transport"),N61,0)</f>
        <v>0</v>
      </c>
      <c r="Y61" s="138">
        <f>IF((P61="Terminé")*AND(E61="Communal"),N61,0)</f>
        <v>0</v>
      </c>
    </row>
    <row r="62" spans="1:25" s="139" customFormat="1" x14ac:dyDescent="0.25">
      <c r="A62" s="369" t="s">
        <v>105</v>
      </c>
      <c r="B62" s="441" t="str">
        <f>'ADU-31'!B$3:E$3</f>
        <v>Performance énergétique</v>
      </c>
      <c r="C62" s="419" t="str">
        <f>'ADU-31'!$B$8</f>
        <v>Bâtiments communaux</v>
      </c>
      <c r="D62" s="133" t="str">
        <f>'ADU-31'!$B$9</f>
        <v>Economies d'énergie - Chauffage</v>
      </c>
      <c r="E62" s="133" t="str">
        <f>'ADU-31'!$B$4</f>
        <v>Communal</v>
      </c>
      <c r="F62" s="133" t="str">
        <f>'ADU-31'!$B$12</f>
        <v>AC MESSANCY</v>
      </c>
      <c r="G62" s="133" t="str">
        <f>'ADU-31'!$B$6</f>
        <v>Fonds propres</v>
      </c>
      <c r="H62" s="134">
        <f>'ADU-31'!$B$17</f>
        <v>60000</v>
      </c>
      <c r="I62" s="133" t="str">
        <f>'ADU-31'!$B$7</f>
        <v>Subs RW</v>
      </c>
      <c r="J62" s="134">
        <f>'ADU-31'!$B$18</f>
        <v>42000</v>
      </c>
      <c r="K62" s="134">
        <f>'ADU-31'!$B$21</f>
        <v>1725.2200000000003</v>
      </c>
      <c r="L62" s="134">
        <f>'ADU-31'!$B$22</f>
        <v>0</v>
      </c>
      <c r="M62" s="135">
        <f>'ADU-31'!$B$24</f>
        <v>10.433451965546421</v>
      </c>
      <c r="N62" s="220">
        <f>'ADU-31'!$B$20/1000</f>
        <v>0</v>
      </c>
      <c r="O62" s="136">
        <f>IF(H62=0,0,N62/(H62-J62)*1000)</f>
        <v>0</v>
      </c>
      <c r="P62" s="137" t="str">
        <f>'ADU-31'!$B$5</f>
        <v>A faire</v>
      </c>
      <c r="Q62" s="140">
        <f>'ADU-31'!$B$16</f>
        <v>2020</v>
      </c>
      <c r="R62" s="283" t="str">
        <f>IF(P62="terminé", N62,"")</f>
        <v/>
      </c>
      <c r="S62" s="138">
        <f>IF((P62="Terminé")*AND(E62="Territoire"),N62,0)</f>
        <v>0</v>
      </c>
      <c r="T62" s="138">
        <f>IF((P62="Terminé")*AND(E62="Agriculture"),N62,0)</f>
        <v>0</v>
      </c>
      <c r="U62" s="138">
        <f>IF((P62="Terminé")*AND(E62="Industrie"), N62,0)</f>
        <v>0</v>
      </c>
      <c r="V62" s="138">
        <f>IF((P62="Terminé")*AND(E62="Logement"),N62,0)</f>
        <v>0</v>
      </c>
      <c r="W62" s="138">
        <f>IF((P62="Terminé")*AND(E62="Tertiaire"),N62,0)</f>
        <v>0</v>
      </c>
      <c r="X62" s="138">
        <f>IF((P62="Terminé")*AND(E62="Transport"),N62,0)</f>
        <v>0</v>
      </c>
      <c r="Y62" s="138">
        <f>IF((P62="Terminé")*AND(E62="Communal"),N62,0)</f>
        <v>0</v>
      </c>
    </row>
    <row r="63" spans="1:25" s="139" customFormat="1" x14ac:dyDescent="0.25">
      <c r="A63" s="369" t="s">
        <v>112</v>
      </c>
      <c r="B63" s="441" t="str">
        <f>'ADU-32'!B$3:E$3</f>
        <v>Performance énergétique</v>
      </c>
      <c r="C63" s="453" t="str">
        <f>'ADU-32'!$B$8</f>
        <v>URE</v>
      </c>
      <c r="D63" s="133" t="str">
        <f>'ADU-32'!$B$9</f>
        <v>Actions URE - Electricité</v>
      </c>
      <c r="E63" s="133" t="str">
        <f>'ADU-32'!$B$4</f>
        <v>Communal</v>
      </c>
      <c r="F63" s="133" t="str">
        <f>'ADU-32'!$B$12</f>
        <v>AC MESSANCY</v>
      </c>
      <c r="G63" s="133" t="str">
        <f>'ADU-32'!$B$6</f>
        <v>Néant</v>
      </c>
      <c r="H63" s="134">
        <f>'ADU-32'!$B$17</f>
        <v>0</v>
      </c>
      <c r="I63" s="133" t="str">
        <f>'ADU-32'!$B$7</f>
        <v>Néant</v>
      </c>
      <c r="J63" s="134">
        <f>'ADU-32'!$B$18</f>
        <v>0</v>
      </c>
      <c r="K63" s="134">
        <f>'ADU-32'!$B$21</f>
        <v>0</v>
      </c>
      <c r="L63" s="134">
        <f>'ADU-32'!$B$22</f>
        <v>0</v>
      </c>
      <c r="M63" s="135" t="e">
        <f>'ADU-32'!$B$24</f>
        <v>#DIV/0!</v>
      </c>
      <c r="N63" s="220">
        <f>'ADU-32'!$B$20/1000</f>
        <v>0</v>
      </c>
      <c r="O63" s="136">
        <f>IF(H63=0,0,N63/(H63-J63)*1000)</f>
        <v>0</v>
      </c>
      <c r="P63" s="137" t="str">
        <f>'ADU-32'!$B$5</f>
        <v>Ne pas réaliser</v>
      </c>
      <c r="Q63" s="140">
        <f>'ADU-32'!$B$16</f>
        <v>0</v>
      </c>
      <c r="R63" s="283" t="str">
        <f>IF(P63="terminé", N63,"")</f>
        <v/>
      </c>
      <c r="S63" s="138">
        <f>IF((P63="Terminé")*AND(E63="Territoire"),N63,0)</f>
        <v>0</v>
      </c>
      <c r="T63" s="138">
        <f>IF((P63="Terminé")*AND(E63="Agriculture"),N63,0)</f>
        <v>0</v>
      </c>
      <c r="U63" s="138">
        <f>IF((P63="Terminé")*AND(E63="Industrie"), N63,0)</f>
        <v>0</v>
      </c>
      <c r="V63" s="138">
        <f>IF((P63="Terminé")*AND(E63="Logement"),N63,0)</f>
        <v>0</v>
      </c>
      <c r="W63" s="138">
        <f>IF((P63="Terminé")*AND(E63="Tertiaire"),N63,0)</f>
        <v>0</v>
      </c>
      <c r="X63" s="138">
        <f>IF((P63="Terminé")*AND(E63="Transport"),N63,0)</f>
        <v>0</v>
      </c>
      <c r="Y63" s="138">
        <f>IF((P63="Terminé")*AND(E63="Communal"),N63,0)</f>
        <v>0</v>
      </c>
    </row>
    <row r="64" spans="1:25" s="139" customFormat="1" x14ac:dyDescent="0.25">
      <c r="A64" s="369" t="s">
        <v>113</v>
      </c>
      <c r="B64" s="441" t="str">
        <f>'ADU-33'!B$3:E$3</f>
        <v>Performance énergétique</v>
      </c>
      <c r="C64" s="419" t="str">
        <f>'ADU-33'!$B$8</f>
        <v>Logement</v>
      </c>
      <c r="D64" s="133" t="str">
        <f>'ADU-33'!$B$9</f>
        <v>Chaudières au propane</v>
      </c>
      <c r="E64" s="133" t="str">
        <f>'ADU-33'!$B$4</f>
        <v>Logement</v>
      </c>
      <c r="F64" s="133" t="str">
        <f>'ADU-33'!$B$12</f>
        <v>Citoyen</v>
      </c>
      <c r="G64" s="133" t="str">
        <f>'ADU-33'!$B$6</f>
        <v>Fonds propres</v>
      </c>
      <c r="H64" s="134">
        <f>'ADU-33'!$B$17</f>
        <v>500000</v>
      </c>
      <c r="I64" s="133" t="str">
        <f>'ADU-33'!$B$7</f>
        <v>Néant</v>
      </c>
      <c r="J64" s="134">
        <f>'ADU-33'!$B$18</f>
        <v>0</v>
      </c>
      <c r="K64" s="134">
        <f>'ADU-33'!$B$21</f>
        <v>38969.21058897012</v>
      </c>
      <c r="L64" s="134">
        <f>'ADU-33'!$B$22</f>
        <v>0</v>
      </c>
      <c r="M64" s="135">
        <f>'ADU-33'!$B$24</f>
        <v>12.830642254311419</v>
      </c>
      <c r="N64" s="220">
        <f>'ADU-33'!$B$20/1000</f>
        <v>0</v>
      </c>
      <c r="O64" s="136">
        <f>IF(H64=0,0,N64/(H64-J64)*1000)</f>
        <v>0</v>
      </c>
      <c r="P64" s="137" t="str">
        <f>'ADU-33'!$B$5</f>
        <v>A faire</v>
      </c>
      <c r="Q64" s="140">
        <f>'ADU-33'!$B$16</f>
        <v>2030</v>
      </c>
      <c r="R64" s="283" t="str">
        <f>IF(P64="terminé", N64,"")</f>
        <v/>
      </c>
      <c r="S64" s="138">
        <f>IF((P64="Terminé")*AND(E64="Territoire"),N64,0)</f>
        <v>0</v>
      </c>
      <c r="T64" s="138">
        <f>IF((P64="Terminé")*AND(E64="Agriculture"),N64,0)</f>
        <v>0</v>
      </c>
      <c r="U64" s="138">
        <f>IF((P64="Terminé")*AND(E64="Industrie"), N64,0)</f>
        <v>0</v>
      </c>
      <c r="V64" s="138">
        <f>IF((P64="Terminé")*AND(E64="Logement"),N64,0)</f>
        <v>0</v>
      </c>
      <c r="W64" s="138">
        <f>IF((P64="Terminé")*AND(E64="Tertiaire"),N64,0)</f>
        <v>0</v>
      </c>
      <c r="X64" s="138">
        <f>IF((P64="Terminé")*AND(E64="Transport"),N64,0)</f>
        <v>0</v>
      </c>
      <c r="Y64" s="138">
        <f>IF((P64="Terminé")*AND(E64="Communal"),N64,0)</f>
        <v>0</v>
      </c>
    </row>
    <row r="65" spans="1:25" s="139" customFormat="1" x14ac:dyDescent="0.25">
      <c r="A65" s="369" t="s">
        <v>114</v>
      </c>
      <c r="B65" s="578" t="str">
        <f>'ADU-34'!B$3:E$3</f>
        <v>Performance énergétique</v>
      </c>
      <c r="C65" s="419" t="str">
        <f>'ADU-34'!$B$8</f>
        <v>Logement</v>
      </c>
      <c r="D65" s="133" t="str">
        <f>'ADU-34'!$B$9</f>
        <v>Chaudières au gaz naturel</v>
      </c>
      <c r="E65" s="133" t="str">
        <f>'ADU-34'!$B$4</f>
        <v>Logement</v>
      </c>
      <c r="F65" s="133" t="str">
        <f>'ADU-34'!$B$12</f>
        <v>Citoyen</v>
      </c>
      <c r="G65" s="133" t="str">
        <f>'ADU-34'!$B$6</f>
        <v>Fonds propres</v>
      </c>
      <c r="H65" s="134">
        <f>'ADU-34'!$B$17</f>
        <v>500000</v>
      </c>
      <c r="I65" s="133" t="str">
        <f>'ADU-34'!$B$7</f>
        <v>Néant</v>
      </c>
      <c r="J65" s="134">
        <f>'ADU-34'!$B$18</f>
        <v>0</v>
      </c>
      <c r="K65" s="134">
        <f>'ADU-34'!$B$21</f>
        <v>38969.21058897012</v>
      </c>
      <c r="L65" s="134">
        <f>'ADU-34'!$B$22</f>
        <v>0</v>
      </c>
      <c r="M65" s="135">
        <f>'ADU-34'!$B$24</f>
        <v>12.830642254311419</v>
      </c>
      <c r="N65" s="220">
        <f>'ADU-34'!$B$20/1000</f>
        <v>0</v>
      </c>
      <c r="O65" s="136">
        <f t="shared" ref="O65:O66" si="77">IF(H65=0,0,N65/(H65-J65)*1000)</f>
        <v>0</v>
      </c>
      <c r="P65" s="137" t="str">
        <f>'ADU-34'!$B$5</f>
        <v>A faire</v>
      </c>
      <c r="Q65" s="140">
        <f>'ADU-34'!$B$16</f>
        <v>2030</v>
      </c>
      <c r="R65" s="283" t="str">
        <f t="shared" ref="R65:R66" si="78">IF(P65="terminé", N65,"")</f>
        <v/>
      </c>
      <c r="S65" s="138">
        <f t="shared" ref="S65:S66" si="79">IF((P65="Terminé")*AND(E65="Territoire"),N65,0)</f>
        <v>0</v>
      </c>
      <c r="T65" s="138">
        <f t="shared" ref="T65:T66" si="80">IF((P65="Terminé")*AND(E65="Agriculture"),N65,0)</f>
        <v>0</v>
      </c>
      <c r="U65" s="138">
        <f t="shared" ref="U65:U66" si="81">IF((P65="Terminé")*AND(E65="Industrie"), N65,0)</f>
        <v>0</v>
      </c>
      <c r="V65" s="138">
        <f t="shared" ref="V65:V66" si="82">IF((P65="Terminé")*AND(E65="Logement"),N65,0)</f>
        <v>0</v>
      </c>
      <c r="W65" s="138">
        <f t="shared" ref="W65:W66" si="83">IF((P65="Terminé")*AND(E65="Tertiaire"),N65,0)</f>
        <v>0</v>
      </c>
      <c r="X65" s="138">
        <f t="shared" ref="X65:X66" si="84">IF((P65="Terminé")*AND(E65="Transport"),N65,0)</f>
        <v>0</v>
      </c>
      <c r="Y65" s="138">
        <f t="shared" ref="Y65:Y66" si="85">IF((P65="Terminé")*AND(E65="Communal"),N65,0)</f>
        <v>0</v>
      </c>
    </row>
    <row r="66" spans="1:25" s="139" customFormat="1" x14ac:dyDescent="0.25">
      <c r="A66" s="369" t="s">
        <v>116</v>
      </c>
      <c r="B66" s="578" t="str">
        <f>'ADU-35'!B$3:E$3</f>
        <v>Performance énergétique</v>
      </c>
      <c r="C66" s="419">
        <f>'ADU-35'!$B$8</f>
        <v>0</v>
      </c>
      <c r="D66" s="133">
        <f>'ADU-35'!$B$9</f>
        <v>0</v>
      </c>
      <c r="E66" s="133" t="str">
        <f>'ADU-35'!$B$4</f>
        <v>Logement</v>
      </c>
      <c r="F66" s="133">
        <f>'ADU-35'!$B$12</f>
        <v>0</v>
      </c>
      <c r="G66" s="133" t="str">
        <f>'ADU-35'!$B$6</f>
        <v>Fonds propres</v>
      </c>
      <c r="H66" s="134">
        <f>'ADU-35'!$B$17</f>
        <v>0</v>
      </c>
      <c r="I66" s="133" t="str">
        <f>'ADU-35'!$B$7</f>
        <v>Néant</v>
      </c>
      <c r="J66" s="134">
        <f>'ADU-35'!$B$18</f>
        <v>0</v>
      </c>
      <c r="K66" s="134">
        <f>'ADU-35'!$B$21</f>
        <v>0</v>
      </c>
      <c r="L66" s="134">
        <f>'ADU-35'!$B$22</f>
        <v>0</v>
      </c>
      <c r="M66" s="135" t="e">
        <f>'ADU-35'!$B$24</f>
        <v>#DIV/0!</v>
      </c>
      <c r="N66" s="220">
        <f>'ADU-35'!$B$20/1000</f>
        <v>0</v>
      </c>
      <c r="O66" s="136">
        <f t="shared" si="77"/>
        <v>0</v>
      </c>
      <c r="P66" s="137" t="str">
        <f>'ADU-35'!$B$5</f>
        <v>A faire</v>
      </c>
      <c r="Q66" s="140">
        <f>'ADU-35'!$B$16</f>
        <v>0</v>
      </c>
      <c r="R66" s="283" t="str">
        <f t="shared" si="78"/>
        <v/>
      </c>
      <c r="S66" s="138">
        <f t="shared" si="79"/>
        <v>0</v>
      </c>
      <c r="T66" s="138">
        <f t="shared" si="80"/>
        <v>0</v>
      </c>
      <c r="U66" s="138">
        <f t="shared" si="81"/>
        <v>0</v>
      </c>
      <c r="V66" s="138">
        <f t="shared" si="82"/>
        <v>0</v>
      </c>
      <c r="W66" s="138">
        <f t="shared" si="83"/>
        <v>0</v>
      </c>
      <c r="X66" s="138">
        <f t="shared" si="84"/>
        <v>0</v>
      </c>
      <c r="Y66" s="138">
        <f t="shared" si="85"/>
        <v>0</v>
      </c>
    </row>
    <row r="67" spans="1:25" s="139" customFormat="1" x14ac:dyDescent="0.25">
      <c r="A67" s="369" t="s">
        <v>812</v>
      </c>
      <c r="B67" s="414" t="str">
        <f>'ADU-50'!B$3:E$3</f>
        <v>Mobilité</v>
      </c>
      <c r="C67" s="419" t="str">
        <f>'ADU-50'!$B$8</f>
        <v>Transport</v>
      </c>
      <c r="D67" s="133" t="str">
        <f>'ADU-50'!$B$9</f>
        <v>Formation à l'éco-conduite</v>
      </c>
      <c r="E67" s="133" t="str">
        <f>'ADU-50'!$B$4</f>
        <v>Transport</v>
      </c>
      <c r="F67" s="133" t="str">
        <f>'ADU-50'!$B$12</f>
        <v>Citoyen</v>
      </c>
      <c r="G67" s="133" t="str">
        <f>'ADU-50'!$B$6</f>
        <v>Fonds propres</v>
      </c>
      <c r="H67" s="134">
        <f>'ADU-50'!$B$17</f>
        <v>7500</v>
      </c>
      <c r="I67" s="133" t="str">
        <f>'ADU-50'!$B$7</f>
        <v>Néant</v>
      </c>
      <c r="J67" s="134">
        <f>'ADU-50'!$B$18</f>
        <v>0</v>
      </c>
      <c r="K67" s="134">
        <f>'ADU-50'!$B$21</f>
        <v>22305.600000000002</v>
      </c>
      <c r="L67" s="134">
        <f>'ADU-50'!$B$22</f>
        <v>0</v>
      </c>
      <c r="M67" s="135">
        <f>'ADU-50'!$B$24</f>
        <v>0.33623843339789106</v>
      </c>
      <c r="N67" s="135">
        <f>'ADU-50'!$B$20/1000</f>
        <v>0</v>
      </c>
      <c r="O67" s="136"/>
      <c r="P67" s="137" t="str">
        <f>'ADU-50'!$B$5</f>
        <v>A faire</v>
      </c>
      <c r="Q67" s="140">
        <f>'ADU-50'!$B$16</f>
        <v>2030</v>
      </c>
      <c r="R67" s="283" t="str">
        <f t="shared" si="61"/>
        <v/>
      </c>
      <c r="S67" s="138">
        <f t="shared" si="62"/>
        <v>0</v>
      </c>
      <c r="T67" s="138">
        <f t="shared" si="63"/>
        <v>0</v>
      </c>
      <c r="U67" s="138">
        <f t="shared" si="64"/>
        <v>0</v>
      </c>
      <c r="V67" s="138">
        <f t="shared" si="65"/>
        <v>0</v>
      </c>
      <c r="W67" s="138">
        <f t="shared" si="66"/>
        <v>0</v>
      </c>
      <c r="X67" s="138">
        <f t="shared" si="67"/>
        <v>0</v>
      </c>
      <c r="Y67" s="138">
        <f t="shared" si="68"/>
        <v>0</v>
      </c>
    </row>
    <row r="68" spans="1:25" s="139" customFormat="1" x14ac:dyDescent="0.25">
      <c r="A68" s="369" t="s">
        <v>811</v>
      </c>
      <c r="B68" s="414" t="str">
        <f>'ADU-51'!B$3:E$3</f>
        <v>Mobilité</v>
      </c>
      <c r="C68" s="419" t="str">
        <f>'ADU-51'!$B$8</f>
        <v>Transport</v>
      </c>
      <c r="D68" s="133" t="str">
        <f>'ADU-51'!$B$9</f>
        <v>Covoiturage</v>
      </c>
      <c r="E68" s="133" t="str">
        <f>'ADU-51'!$B$4</f>
        <v>Transport</v>
      </c>
      <c r="F68" s="133" t="str">
        <f>'ADU-51'!$B$12</f>
        <v>AC MESSANCY</v>
      </c>
      <c r="G68" s="133" t="str">
        <f>'ADU-51'!$B$6</f>
        <v>Néant</v>
      </c>
      <c r="H68" s="134">
        <f>'ADU-51'!$B$17</f>
        <v>0</v>
      </c>
      <c r="I68" s="133" t="str">
        <f>'ADU-51'!$B$7</f>
        <v>Néant</v>
      </c>
      <c r="J68" s="134">
        <f>'ADU-51'!$B$18</f>
        <v>0</v>
      </c>
      <c r="K68" s="134">
        <f>'ADU-51'!$B$21</f>
        <v>34.4</v>
      </c>
      <c r="L68" s="134">
        <f>'ADU-51'!$B$22</f>
        <v>0</v>
      </c>
      <c r="M68" s="135">
        <f>'ADU-51'!$B$24</f>
        <v>0</v>
      </c>
      <c r="N68" s="135">
        <f>'ADU-51'!$B$20/1000</f>
        <v>0</v>
      </c>
      <c r="O68" s="136"/>
      <c r="P68" s="137" t="str">
        <f>'ADU-51'!$B$5</f>
        <v>A faire</v>
      </c>
      <c r="Q68" s="140">
        <f>'ADU-51'!$B$16</f>
        <v>2030</v>
      </c>
      <c r="R68" s="283" t="str">
        <f t="shared" si="61"/>
        <v/>
      </c>
      <c r="S68" s="138">
        <f t="shared" si="62"/>
        <v>0</v>
      </c>
      <c r="T68" s="138">
        <f t="shared" si="63"/>
        <v>0</v>
      </c>
      <c r="U68" s="138">
        <f t="shared" si="64"/>
        <v>0</v>
      </c>
      <c r="V68" s="138">
        <f t="shared" si="65"/>
        <v>0</v>
      </c>
      <c r="W68" s="138">
        <f t="shared" si="66"/>
        <v>0</v>
      </c>
      <c r="X68" s="138">
        <f t="shared" si="67"/>
        <v>0</v>
      </c>
      <c r="Y68" s="138">
        <f t="shared" si="68"/>
        <v>0</v>
      </c>
    </row>
    <row r="69" spans="1:25" s="139" customFormat="1" x14ac:dyDescent="0.25">
      <c r="A69" s="369" t="s">
        <v>810</v>
      </c>
      <c r="B69" s="414" t="str">
        <f>'ADU-52'!B$3:E$3</f>
        <v>Mobilité</v>
      </c>
      <c r="C69" s="419" t="str">
        <f>'ADU-52'!$B$8</f>
        <v>Véhicules de service</v>
      </c>
      <c r="D69" s="133" t="str">
        <f>'ADU-52'!$B$9</f>
        <v>Véhicules de service électriques</v>
      </c>
      <c r="E69" s="133" t="str">
        <f>'ADU-52'!$B$4</f>
        <v>Transport</v>
      </c>
      <c r="F69" s="133" t="str">
        <f>'ADU-52'!$B$12</f>
        <v>AC MESSANCY</v>
      </c>
      <c r="G69" s="133" t="str">
        <f>'ADU-52'!$B$6</f>
        <v>Fonds propres</v>
      </c>
      <c r="H69" s="134">
        <f>'ADU-52'!$B$17</f>
        <v>30000</v>
      </c>
      <c r="I69" s="133" t="str">
        <f>'ADU-52'!$B$7</f>
        <v>Néant</v>
      </c>
      <c r="J69" s="134">
        <f>'ADU-52'!$B$18</f>
        <v>0</v>
      </c>
      <c r="K69" s="134">
        <f>'ADU-52'!$B$21</f>
        <v>1610.4326530612245</v>
      </c>
      <c r="L69" s="134">
        <f>'ADU-52'!$B$22</f>
        <v>0</v>
      </c>
      <c r="M69" s="135">
        <f>'ADU-52'!$B$24</f>
        <v>6.2095114508460139</v>
      </c>
      <c r="N69" s="135">
        <f>'ADU-52'!$B$20/1000</f>
        <v>0</v>
      </c>
      <c r="O69" s="136">
        <f>IF(H69=0,0,N69/(H69-J69)*1000)</f>
        <v>0</v>
      </c>
      <c r="P69" s="137" t="str">
        <f>'ADU-52'!$B$5</f>
        <v>A faire</v>
      </c>
      <c r="Q69" s="140">
        <f>'ADU-52'!$B$16</f>
        <v>2030</v>
      </c>
      <c r="R69" s="283" t="str">
        <f t="shared" si="61"/>
        <v/>
      </c>
      <c r="S69" s="138">
        <f t="shared" si="62"/>
        <v>0</v>
      </c>
      <c r="T69" s="138">
        <f t="shared" si="63"/>
        <v>0</v>
      </c>
      <c r="U69" s="138">
        <f t="shared" si="64"/>
        <v>0</v>
      </c>
      <c r="V69" s="138">
        <f t="shared" si="65"/>
        <v>0</v>
      </c>
      <c r="W69" s="138">
        <f t="shared" si="66"/>
        <v>0</v>
      </c>
      <c r="X69" s="138">
        <f t="shared" si="67"/>
        <v>0</v>
      </c>
      <c r="Y69" s="138">
        <f t="shared" si="68"/>
        <v>0</v>
      </c>
    </row>
    <row r="70" spans="1:25" s="139" customFormat="1" ht="26.25" customHeight="1" x14ac:dyDescent="0.25">
      <c r="A70" s="369" t="s">
        <v>809</v>
      </c>
      <c r="B70" s="414" t="str">
        <f>'ADU-53'!B$3:E$3</f>
        <v>Mobilité</v>
      </c>
      <c r="C70" s="419" t="str">
        <f>'ADU-53'!$B$8</f>
        <v>Citoyens</v>
      </c>
      <c r="D70" s="133" t="str">
        <f>'ADU-53'!$B$9</f>
        <v>Voitures électriques</v>
      </c>
      <c r="E70" s="133" t="str">
        <f>'ADU-53'!$B$4</f>
        <v>Transport</v>
      </c>
      <c r="F70" s="133" t="str">
        <f>'ADU-53'!$B$12</f>
        <v>Citoyen</v>
      </c>
      <c r="G70" s="133" t="str">
        <f>'ADU-53'!$B$6</f>
        <v>Prêt bancaire</v>
      </c>
      <c r="H70" s="134">
        <f>'ADU-53'!$B$17</f>
        <v>16000000</v>
      </c>
      <c r="I70" s="133" t="str">
        <f>'ADU-53'!$B$7</f>
        <v>Néant</v>
      </c>
      <c r="J70" s="134">
        <f>'ADU-53'!$B$18</f>
        <v>0</v>
      </c>
      <c r="K70" s="134">
        <f>'ADU-53'!$B$21</f>
        <v>691772.98792169942</v>
      </c>
      <c r="L70" s="134">
        <f>'ADU-53'!$B$22</f>
        <v>0</v>
      </c>
      <c r="M70" s="135">
        <f>'ADU-53'!$B$24</f>
        <v>4.6257949585655149</v>
      </c>
      <c r="N70" s="135">
        <f>'ADU-53'!$B$20/1000</f>
        <v>0</v>
      </c>
      <c r="O70" s="136">
        <f>IF(H70=0,0,N70/(H70-J70)*1000)</f>
        <v>0</v>
      </c>
      <c r="P70" s="137" t="str">
        <f>'ADU-53'!$B$5</f>
        <v>A faire</v>
      </c>
      <c r="Q70" s="140">
        <f>'ADU-53'!$B$16</f>
        <v>2030</v>
      </c>
      <c r="R70" s="283" t="str">
        <f t="shared" si="61"/>
        <v/>
      </c>
      <c r="S70" s="138">
        <f t="shared" si="62"/>
        <v>0</v>
      </c>
      <c r="T70" s="138">
        <f t="shared" si="63"/>
        <v>0</v>
      </c>
      <c r="U70" s="138">
        <f t="shared" si="64"/>
        <v>0</v>
      </c>
      <c r="V70" s="138">
        <f t="shared" si="65"/>
        <v>0</v>
      </c>
      <c r="W70" s="138">
        <f t="shared" si="66"/>
        <v>0</v>
      </c>
      <c r="X70" s="138">
        <f t="shared" si="67"/>
        <v>0</v>
      </c>
      <c r="Y70" s="138">
        <f t="shared" si="68"/>
        <v>0</v>
      </c>
    </row>
    <row r="71" spans="1:25" s="139" customFormat="1" ht="26.25" customHeight="1" x14ac:dyDescent="0.25">
      <c r="A71" s="369" t="s">
        <v>808</v>
      </c>
      <c r="B71" s="414" t="str">
        <f>'ADU-54'!B$3:E$3</f>
        <v>Mobilité</v>
      </c>
      <c r="C71" s="419" t="str">
        <f>'ADU-54'!$B$8</f>
        <v>Véhicules propres</v>
      </c>
      <c r="D71" s="133" t="str">
        <f>'ADU-54'!$B$9</f>
        <v>Voitures hybrides</v>
      </c>
      <c r="E71" s="133" t="str">
        <f>'ADU-54'!$B$4</f>
        <v>Transport</v>
      </c>
      <c r="F71" s="133" t="str">
        <f>'ADU-54'!$B$12</f>
        <v>Citoyen</v>
      </c>
      <c r="G71" s="133" t="str">
        <f>'ADU-54'!$B$6</f>
        <v>Fonds propres</v>
      </c>
      <c r="H71" s="134">
        <f>'ADU-54'!$B$17</f>
        <v>624353.30356851581</v>
      </c>
      <c r="I71" s="133" t="str">
        <f>'ADU-54'!$B$7</f>
        <v>Néant</v>
      </c>
      <c r="J71" s="134">
        <f>'ADU-54'!$B$18</f>
        <v>0</v>
      </c>
      <c r="K71" s="134">
        <f>'ADU-54'!$B$21</f>
        <v>31977.917968637263</v>
      </c>
      <c r="L71" s="134">
        <f>'ADU-54'!$B$22</f>
        <v>0</v>
      </c>
      <c r="M71" s="135">
        <f>'ADU-54'!$B$24</f>
        <v>2.1693904322798221</v>
      </c>
      <c r="N71" s="135">
        <f>'ADU-54'!$B$20/1000</f>
        <v>0</v>
      </c>
      <c r="O71" s="136">
        <f>IF(H71=0,0,N71/(H71-J71)*1000)</f>
        <v>0</v>
      </c>
      <c r="P71" s="137" t="str">
        <f>'ADU-54'!$B$5</f>
        <v>Terminé</v>
      </c>
      <c r="Q71" s="140">
        <f>'ADU-54'!$B$16</f>
        <v>2018</v>
      </c>
      <c r="R71" s="283">
        <f>IF(P71="terminé", N71,"")</f>
        <v>0</v>
      </c>
      <c r="S71" s="138">
        <f>IF((P71="Terminé")*AND(E71="Territoire"),N71,0)</f>
        <v>0</v>
      </c>
      <c r="T71" s="138">
        <f>IF((P71="Terminé")*AND(E71="Agriculture"),N71,0)</f>
        <v>0</v>
      </c>
      <c r="U71" s="138">
        <f>IF((P71="Terminé")*AND(E71="Industrie"), N71,0)</f>
        <v>0</v>
      </c>
      <c r="V71" s="138">
        <f>IF((P71="Terminé")*AND(E71="Logement"),N71,0)</f>
        <v>0</v>
      </c>
      <c r="W71" s="138">
        <f>IF((P71="Terminé")*AND(E71="Tertiaire"),N71,0)</f>
        <v>0</v>
      </c>
      <c r="X71" s="138">
        <f>IF((P71="Terminé")*AND(E71="Transport"),N71,0)</f>
        <v>0</v>
      </c>
      <c r="Y71" s="138">
        <f>IF((P71="Terminé")*AND(E71="Communal"),N71,0)</f>
        <v>0</v>
      </c>
    </row>
    <row r="72" spans="1:25" s="139" customFormat="1" ht="26.25" customHeight="1" x14ac:dyDescent="0.25">
      <c r="A72" s="369" t="s">
        <v>807</v>
      </c>
      <c r="B72" s="414" t="str">
        <f>'ADU-55'!B$3:E$3</f>
        <v>Mobilité</v>
      </c>
      <c r="C72" s="419" t="str">
        <f>'ADU-55'!$B$8</f>
        <v>Mobilité douce</v>
      </c>
      <c r="D72" s="133" t="str">
        <f>'ADU-55'!$B$9</f>
        <v>Vélos à assistance électrique</v>
      </c>
      <c r="E72" s="133" t="str">
        <f>'ADU-55'!$B$4</f>
        <v>Transport</v>
      </c>
      <c r="F72" s="133" t="str">
        <f>'ADU-55'!$B$12</f>
        <v>Citoyen</v>
      </c>
      <c r="G72" s="133" t="str">
        <f>'ADU-55'!$B$6</f>
        <v>Fonds propres</v>
      </c>
      <c r="H72" s="134">
        <f>'ADU-55'!$B$17</f>
        <v>320000</v>
      </c>
      <c r="I72" s="133" t="str">
        <f>'ADU-55'!$B$7</f>
        <v>Néant</v>
      </c>
      <c r="J72" s="134">
        <f>'ADU-55'!$B$18</f>
        <v>0</v>
      </c>
      <c r="K72" s="134">
        <f>'ADU-55'!$B$21</f>
        <v>28800</v>
      </c>
      <c r="L72" s="134">
        <f>'ADU-55'!$B$22</f>
        <v>0</v>
      </c>
      <c r="M72" s="135">
        <f>'ADU-55'!$B$24</f>
        <v>11.111111111111111</v>
      </c>
      <c r="N72" s="135">
        <f>'ADU-55'!$B$20/1000</f>
        <v>0</v>
      </c>
      <c r="O72" s="136">
        <f>IF(H72=0,0,N72/(H72-J72)*1000)</f>
        <v>0</v>
      </c>
      <c r="P72" s="137" t="str">
        <f>'ADU-55'!$B$5</f>
        <v>A faire</v>
      </c>
      <c r="Q72" s="140">
        <f>'ADU-55'!$B$16</f>
        <v>2030</v>
      </c>
      <c r="R72" s="283" t="str">
        <f>IF(P72="terminé", N72,"")</f>
        <v/>
      </c>
      <c r="S72" s="138">
        <f>IF((P72="Terminé")*AND(E72="Territoire"),N72,0)</f>
        <v>0</v>
      </c>
      <c r="T72" s="138">
        <f>IF((P72="Terminé")*AND(E72="Agriculture"),N72,0)</f>
        <v>0</v>
      </c>
      <c r="U72" s="138">
        <f>IF((P72="Terminé")*AND(E72="Industrie"), N72,0)</f>
        <v>0</v>
      </c>
      <c r="V72" s="138">
        <f>IF((P72="Terminé")*AND(E72="Logement"),N72,0)</f>
        <v>0</v>
      </c>
      <c r="W72" s="138">
        <f>IF((P72="Terminé")*AND(E72="Tertiaire"),N72,0)</f>
        <v>0</v>
      </c>
      <c r="X72" s="138">
        <f>IF((P72="Terminé")*AND(E72="Transport"),N72,0)</f>
        <v>0</v>
      </c>
      <c r="Y72" s="138">
        <f>IF((P72="Terminé")*AND(E72="Communal"),N72,0)</f>
        <v>0</v>
      </c>
    </row>
    <row r="73" spans="1:25" s="139" customFormat="1" x14ac:dyDescent="0.25">
      <c r="A73" s="369" t="s">
        <v>806</v>
      </c>
      <c r="B73" s="414" t="str">
        <f>'ADU-56'!B$3:E$3</f>
        <v>Mobilité</v>
      </c>
      <c r="C73" s="419" t="str">
        <f>'ADU-56'!$B$8</f>
        <v>Transport</v>
      </c>
      <c r="D73" s="133" t="str">
        <f>'ADU-56'!$B$9</f>
        <v>Borne de recharge</v>
      </c>
      <c r="E73" s="133" t="str">
        <f>'ADU-56'!$B$4</f>
        <v>Transport</v>
      </c>
      <c r="F73" s="133" t="str">
        <f>'ADU-56'!$B$12</f>
        <v>AC MESSANCY</v>
      </c>
      <c r="G73" s="133" t="str">
        <f>'ADU-56'!$B$6</f>
        <v>1/3 invest</v>
      </c>
      <c r="H73" s="134">
        <f>'ADU-56'!$B$17</f>
        <v>20000</v>
      </c>
      <c r="I73" s="133" t="str">
        <f>'ADU-56'!$B$7</f>
        <v>Néant</v>
      </c>
      <c r="J73" s="134">
        <f>'ADU-56'!$B$18</f>
        <v>0</v>
      </c>
      <c r="K73" s="134">
        <f>'ADU-56'!$B$21</f>
        <v>1</v>
      </c>
      <c r="L73" s="134">
        <f>'ADU-56'!$B$22</f>
        <v>0</v>
      </c>
      <c r="M73" s="135">
        <f>'ADU-56'!$B$24</f>
        <v>90000</v>
      </c>
      <c r="N73" s="135">
        <f>'ADU-56'!$B$20/1000</f>
        <v>0</v>
      </c>
      <c r="O73" s="136">
        <f>IF(H73=0,0,N73/(H73-J73)*1000)</f>
        <v>0</v>
      </c>
      <c r="P73" s="137" t="str">
        <f>'ADU-56'!$B$5</f>
        <v>A faire</v>
      </c>
      <c r="Q73" s="140">
        <f>'ADU-56'!$B$16</f>
        <v>2030</v>
      </c>
      <c r="R73" s="283" t="str">
        <f>IF(P73="terminé", N73,"")</f>
        <v/>
      </c>
      <c r="S73" s="138">
        <f>IF((P73="Terminé")*AND(E73="Territoire"),N73,0)</f>
        <v>0</v>
      </c>
      <c r="T73" s="138">
        <f>IF((P73="Terminé")*AND(E73="Agriculture"),N73,0)</f>
        <v>0</v>
      </c>
      <c r="U73" s="138">
        <f>IF((P73="Terminé")*AND(E73="Industrie"), N73,0)</f>
        <v>0</v>
      </c>
      <c r="V73" s="138">
        <f>IF((P73="Terminé")*AND(E73="Logement"),N73,0)</f>
        <v>0</v>
      </c>
      <c r="W73" s="138">
        <f>IF((P73="Terminé")*AND(E73="Tertiaire"),N73,0)</f>
        <v>0</v>
      </c>
      <c r="X73" s="138">
        <f>IF((P73="Terminé")*AND(E73="Transport"),N73,0)</f>
        <v>0</v>
      </c>
      <c r="Y73" s="138">
        <f>IF((P73="Terminé")*AND(E73="Communal"),N73,0)</f>
        <v>0</v>
      </c>
    </row>
    <row r="74" spans="1:25" s="139" customFormat="1" x14ac:dyDescent="0.25">
      <c r="A74" s="369" t="s">
        <v>906</v>
      </c>
      <c r="B74" s="513" t="str">
        <f>'ADU-57'!B$3:E$3</f>
        <v>Mobilité</v>
      </c>
      <c r="C74" s="419" t="str">
        <f>'ADU-57'!$B$8</f>
        <v>Véhicules propres</v>
      </c>
      <c r="D74" s="133" t="str">
        <f>'ADU-57'!$B$9</f>
        <v>Voitures hybrides</v>
      </c>
      <c r="E74" s="133" t="str">
        <f>'ADU-57'!$B$4</f>
        <v>Transport</v>
      </c>
      <c r="F74" s="133" t="str">
        <f>'ADU-57'!$B$12</f>
        <v>Citoyen</v>
      </c>
      <c r="G74" s="133" t="str">
        <f>'ADU-57'!$B$6</f>
        <v>Fonds propres</v>
      </c>
      <c r="H74" s="134">
        <f>'ADU-57'!$B$17</f>
        <v>9000000</v>
      </c>
      <c r="I74" s="133" t="str">
        <f>'ADU-57'!$B$7</f>
        <v>Néant</v>
      </c>
      <c r="J74" s="134">
        <f>'ADU-57'!$B$18</f>
        <v>0</v>
      </c>
      <c r="K74" s="134">
        <f>'ADU-57'!$B$21</f>
        <v>463804.08163265308</v>
      </c>
      <c r="L74" s="134">
        <f>'ADU-57'!$B$22</f>
        <v>0</v>
      </c>
      <c r="M74" s="135">
        <f>'ADU-57'!$B$24</f>
        <v>2.1560827935792735</v>
      </c>
      <c r="N74" s="135">
        <f>'ADU-57'!$B$20/1000</f>
        <v>0</v>
      </c>
      <c r="O74" s="136">
        <f t="shared" ref="O74:O77" si="86">IF(H74=0,0,N74/(H74-J74)*1000)</f>
        <v>0</v>
      </c>
      <c r="P74" s="137" t="str">
        <f>'ADU-57'!$B$5</f>
        <v>A faire</v>
      </c>
      <c r="Q74" s="140">
        <f>'ADU-57'!$B$16</f>
        <v>2030</v>
      </c>
      <c r="R74" s="283" t="str">
        <f t="shared" ref="R74:R77" si="87">IF(P74="terminé", N74,"")</f>
        <v/>
      </c>
      <c r="S74" s="138">
        <f t="shared" ref="S74:S77" si="88">IF((P74="Terminé")*AND(E74="Territoire"),N74,0)</f>
        <v>0</v>
      </c>
      <c r="T74" s="138">
        <f t="shared" ref="T74:T77" si="89">IF((P74="Terminé")*AND(E74="Agriculture"),N74,0)</f>
        <v>0</v>
      </c>
      <c r="U74" s="138">
        <f t="shared" ref="U74:U77" si="90">IF((P74="Terminé")*AND(E74="Industrie"), N74,0)</f>
        <v>0</v>
      </c>
      <c r="V74" s="138">
        <f t="shared" ref="V74:V77" si="91">IF((P74="Terminé")*AND(E74="Logement"),N74,0)</f>
        <v>0</v>
      </c>
      <c r="W74" s="138">
        <f t="shared" ref="W74:W77" si="92">IF((P74="Terminé")*AND(E74="Tertiaire"),N74,0)</f>
        <v>0</v>
      </c>
      <c r="X74" s="138">
        <f t="shared" ref="X74:X77" si="93">IF((P74="Terminé")*AND(E74="Transport"),N74,0)</f>
        <v>0</v>
      </c>
      <c r="Y74" s="138">
        <f t="shared" ref="Y74:Y77" si="94">IF((P74="Terminé")*AND(E74="Communal"),N74,0)</f>
        <v>0</v>
      </c>
    </row>
    <row r="75" spans="1:25" s="139" customFormat="1" x14ac:dyDescent="0.25">
      <c r="A75" s="369" t="s">
        <v>923</v>
      </c>
      <c r="B75" s="513" t="str">
        <f>'ADU-58'!B$3:E$3</f>
        <v>Mobilité</v>
      </c>
      <c r="C75" s="419" t="str">
        <f>'ADU-58'!$B$8</f>
        <v>Véhicules propres</v>
      </c>
      <c r="D75" s="133" t="str">
        <f>'ADU-58'!$B$9</f>
        <v>Voitures H2</v>
      </c>
      <c r="E75" s="133" t="str">
        <f>'ADU-58'!$B$4</f>
        <v>Transport</v>
      </c>
      <c r="F75" s="133" t="str">
        <f>'ADU-58'!$B$12</f>
        <v>Citoyen</v>
      </c>
      <c r="G75" s="133" t="str">
        <f>'ADU-58'!$B$6</f>
        <v>Fonds propres</v>
      </c>
      <c r="H75" s="134">
        <f>'ADU-58'!$B$17</f>
        <v>2000000</v>
      </c>
      <c r="I75" s="133" t="str">
        <f>'ADU-58'!$B$7</f>
        <v>Néant</v>
      </c>
      <c r="J75" s="134">
        <f>'ADU-58'!$B$18</f>
        <v>0</v>
      </c>
      <c r="K75" s="134">
        <f>'ADU-58'!$B$21</f>
        <v>449195.2</v>
      </c>
      <c r="L75" s="134">
        <f>'ADU-58'!$B$22</f>
        <v>0</v>
      </c>
      <c r="M75" s="135">
        <f>'ADU-58'!$B$24</f>
        <v>0.89048146551877672</v>
      </c>
      <c r="N75" s="135">
        <f>'ADU-58'!$B$20/1000</f>
        <v>0</v>
      </c>
      <c r="O75" s="136">
        <f t="shared" si="86"/>
        <v>0</v>
      </c>
      <c r="P75" s="137" t="str">
        <f>'ADU-58'!$B$5</f>
        <v>A faire</v>
      </c>
      <c r="Q75" s="140">
        <f>'ADU-58'!$B$16</f>
        <v>2030</v>
      </c>
      <c r="R75" s="283" t="str">
        <f t="shared" si="87"/>
        <v/>
      </c>
      <c r="S75" s="138">
        <f t="shared" si="88"/>
        <v>0</v>
      </c>
      <c r="T75" s="138">
        <f t="shared" si="89"/>
        <v>0</v>
      </c>
      <c r="U75" s="138">
        <f t="shared" si="90"/>
        <v>0</v>
      </c>
      <c r="V75" s="138">
        <f t="shared" si="91"/>
        <v>0</v>
      </c>
      <c r="W75" s="138">
        <f t="shared" si="92"/>
        <v>0</v>
      </c>
      <c r="X75" s="138">
        <f t="shared" si="93"/>
        <v>0</v>
      </c>
      <c r="Y75" s="138">
        <f t="shared" si="94"/>
        <v>0</v>
      </c>
    </row>
    <row r="76" spans="1:25" s="139" customFormat="1" x14ac:dyDescent="0.25">
      <c r="A76" s="369" t="s">
        <v>922</v>
      </c>
      <c r="B76" s="513" t="str">
        <f>'ADU-59'!B$3:E$3</f>
        <v>Mobilité</v>
      </c>
      <c r="C76" s="419" t="str">
        <f>'ADU-59'!$B$8</f>
        <v>Véhicules propres</v>
      </c>
      <c r="D76" s="133" t="str">
        <f>'ADU-59'!$B$9</f>
        <v>Voitures CNG</v>
      </c>
      <c r="E76" s="133" t="str">
        <f>'ADU-59'!$B$4</f>
        <v>Transport</v>
      </c>
      <c r="F76" s="133" t="str">
        <f>'ADU-59'!$B$12</f>
        <v>Citoyen</v>
      </c>
      <c r="G76" s="133" t="str">
        <f>'ADU-59'!$B$6</f>
        <v>Fonds propres</v>
      </c>
      <c r="H76" s="134">
        <f>'ADU-59'!$B$17</f>
        <v>11000000</v>
      </c>
      <c r="I76" s="133" t="str">
        <f>'ADU-59'!$B$7</f>
        <v>Néant</v>
      </c>
      <c r="J76" s="134">
        <f>'ADU-59'!$B$18</f>
        <v>0</v>
      </c>
      <c r="K76" s="134">
        <f>'ADU-59'!$B$21</f>
        <v>441465</v>
      </c>
      <c r="L76" s="134">
        <f>'ADU-59'!$B$22</f>
        <v>0</v>
      </c>
      <c r="M76" s="135">
        <f>'ADU-59'!$B$24</f>
        <v>2.265185235522635</v>
      </c>
      <c r="N76" s="135">
        <f>'ADU-59'!$B$20/1000</f>
        <v>0</v>
      </c>
      <c r="O76" s="136">
        <f t="shared" si="86"/>
        <v>0</v>
      </c>
      <c r="P76" s="137" t="str">
        <f>'ADU-59'!$B$5</f>
        <v>A faire</v>
      </c>
      <c r="Q76" s="140">
        <f>'ADU-59'!$B$16</f>
        <v>2030</v>
      </c>
      <c r="R76" s="283" t="str">
        <f t="shared" si="87"/>
        <v/>
      </c>
      <c r="S76" s="138">
        <f t="shared" si="88"/>
        <v>0</v>
      </c>
      <c r="T76" s="138">
        <f t="shared" si="89"/>
        <v>0</v>
      </c>
      <c r="U76" s="138">
        <f t="shared" si="90"/>
        <v>0</v>
      </c>
      <c r="V76" s="138">
        <f t="shared" si="91"/>
        <v>0</v>
      </c>
      <c r="W76" s="138">
        <f t="shared" si="92"/>
        <v>0</v>
      </c>
      <c r="X76" s="138">
        <f t="shared" si="93"/>
        <v>0</v>
      </c>
      <c r="Y76" s="138">
        <f t="shared" si="94"/>
        <v>0</v>
      </c>
    </row>
    <row r="77" spans="1:25" s="139" customFormat="1" x14ac:dyDescent="0.25">
      <c r="A77" s="369" t="s">
        <v>921</v>
      </c>
      <c r="B77" s="513" t="str">
        <f>'ADU-60'!B$3:E$3</f>
        <v>Mobilité</v>
      </c>
      <c r="C77" s="419" t="str">
        <f>'ADU-60'!$B$8</f>
        <v>Véhicules propres</v>
      </c>
      <c r="D77" s="133" t="str">
        <f>'ADU-60'!$B$9</f>
        <v>Station CNG</v>
      </c>
      <c r="E77" s="133" t="str">
        <f>'ADU-60'!$B$4</f>
        <v>Transport</v>
      </c>
      <c r="F77" s="133" t="str">
        <f>'ADU-60'!$B$12</f>
        <v>IDELUX</v>
      </c>
      <c r="G77" s="133" t="str">
        <f>'ADU-60'!$B$6</f>
        <v>Fonds propres</v>
      </c>
      <c r="H77" s="134">
        <f>'ADU-60'!$B$17</f>
        <v>330000</v>
      </c>
      <c r="I77" s="133" t="str">
        <f>'ADU-60'!$B$7</f>
        <v>Néant</v>
      </c>
      <c r="J77" s="134">
        <f>'ADU-60'!$B$18</f>
        <v>0</v>
      </c>
      <c r="K77" s="134">
        <f>'ADU-60'!$B$21</f>
        <v>0</v>
      </c>
      <c r="L77" s="134">
        <f>'ADU-60'!$B$22</f>
        <v>0</v>
      </c>
      <c r="M77" s="135" t="e">
        <f>'ADU-60'!$B$24</f>
        <v>#DIV/0!</v>
      </c>
      <c r="N77" s="135">
        <f>'ADU-60'!$B$10/1000</f>
        <v>0</v>
      </c>
      <c r="O77" s="136">
        <f t="shared" si="86"/>
        <v>0</v>
      </c>
      <c r="P77" s="137" t="str">
        <f>'ADU-60'!$B$5</f>
        <v>A faire</v>
      </c>
      <c r="Q77" s="140">
        <f>'ADU-60'!$B$16</f>
        <v>2022</v>
      </c>
      <c r="R77" s="283" t="str">
        <f t="shared" si="87"/>
        <v/>
      </c>
      <c r="S77" s="138">
        <f t="shared" si="88"/>
        <v>0</v>
      </c>
      <c r="T77" s="138">
        <f t="shared" si="89"/>
        <v>0</v>
      </c>
      <c r="U77" s="138">
        <f t="shared" si="90"/>
        <v>0</v>
      </c>
      <c r="V77" s="138">
        <f t="shared" si="91"/>
        <v>0</v>
      </c>
      <c r="W77" s="138">
        <f t="shared" si="92"/>
        <v>0</v>
      </c>
      <c r="X77" s="138">
        <f t="shared" si="93"/>
        <v>0</v>
      </c>
      <c r="Y77" s="138">
        <f t="shared" si="94"/>
        <v>0</v>
      </c>
    </row>
    <row r="78" spans="1:25" s="139" customFormat="1" x14ac:dyDescent="0.25">
      <c r="A78" s="369" t="s">
        <v>251</v>
      </c>
      <c r="B78" s="565" t="str">
        <f>'ADU-61'!B$3:E$3</f>
        <v>Mobilité</v>
      </c>
      <c r="C78" s="419" t="str">
        <f>'ADU-61'!$B$8</f>
        <v>Citoyens</v>
      </c>
      <c r="D78" s="133" t="str">
        <f>'ADU-61'!$B$9</f>
        <v>Ecopaturage</v>
      </c>
      <c r="E78" s="133" t="str">
        <f>'ADU-61'!$B$4</f>
        <v>Transport</v>
      </c>
      <c r="F78" s="133" t="str">
        <f>'ADU-61'!$B$12</f>
        <v>Citoyen</v>
      </c>
      <c r="G78" s="133" t="str">
        <f>'ADU-61'!$B$6</f>
        <v>Néant</v>
      </c>
      <c r="H78" s="134">
        <f>'ADU-61'!$B$17</f>
        <v>0</v>
      </c>
      <c r="I78" s="133" t="str">
        <f>'ADU-61'!$B$7</f>
        <v>Néant</v>
      </c>
      <c r="J78" s="134">
        <f>'ADU-61'!$B$18</f>
        <v>0</v>
      </c>
      <c r="K78" s="134">
        <f>'ADU-61'!$B$21</f>
        <v>640</v>
      </c>
      <c r="L78" s="134">
        <f>'ADU-61'!$B$22</f>
        <v>0</v>
      </c>
      <c r="M78" s="135">
        <f>'ADU-61'!$B$24</f>
        <v>0</v>
      </c>
      <c r="N78" s="135">
        <f>'ADU-61'!$B$20/1000</f>
        <v>0</v>
      </c>
      <c r="O78" s="136">
        <f>IF(H78=0,0,N78/(H78-J78)*1000)</f>
        <v>0</v>
      </c>
      <c r="P78" s="137" t="str">
        <f>'ADU-61'!$B$5</f>
        <v>A faire</v>
      </c>
      <c r="Q78" s="140">
        <f>'ADU-61'!$B$16</f>
        <v>2030</v>
      </c>
      <c r="R78" s="283" t="str">
        <f t="shared" ref="R78" si="95">IF(P78="terminé", N78,"")</f>
        <v/>
      </c>
      <c r="S78" s="138">
        <f t="shared" ref="S78" si="96">IF((P78="Terminé")*AND(E78="Territoire"),N78,0)</f>
        <v>0</v>
      </c>
      <c r="T78" s="138">
        <f t="shared" ref="T78" si="97">IF((P78="Terminé")*AND(E78="Agriculture"),N78,0)</f>
        <v>0</v>
      </c>
      <c r="U78" s="138">
        <f t="shared" ref="U78" si="98">IF((P78="Terminé")*AND(E78="Industrie"), N78,0)</f>
        <v>0</v>
      </c>
      <c r="V78" s="138">
        <f t="shared" ref="V78" si="99">IF((P78="Terminé")*AND(E78="Logement"),N78,0)</f>
        <v>0</v>
      </c>
      <c r="W78" s="138">
        <f t="shared" ref="W78" si="100">IF((P78="Terminé")*AND(E78="Tertiaire"),N78,0)</f>
        <v>0</v>
      </c>
      <c r="X78" s="138">
        <f t="shared" ref="X78" si="101">IF((P78="Terminé")*AND(E78="Transport"),N78,0)</f>
        <v>0</v>
      </c>
      <c r="Y78" s="138">
        <f t="shared" ref="Y78" si="102">IF((P78="Terminé")*AND(E78="Communal"),N78,0)</f>
        <v>0</v>
      </c>
    </row>
    <row r="79" spans="1:25" s="139" customFormat="1" x14ac:dyDescent="0.25">
      <c r="A79" s="369" t="s">
        <v>1038</v>
      </c>
      <c r="B79" s="578" t="str">
        <f>'ADU-62'!B$3:E$3</f>
        <v>Mobilité</v>
      </c>
      <c r="C79" s="419" t="str">
        <f>'ADU-62'!$B$8</f>
        <v>Véhicules communaux</v>
      </c>
      <c r="D79" s="133" t="str">
        <f>'ADU-62'!$B$9</f>
        <v>Véhicules CNG</v>
      </c>
      <c r="E79" s="133" t="str">
        <f>'ADU-62'!$B$4</f>
        <v>Transport</v>
      </c>
      <c r="F79" s="133" t="str">
        <f>'ADU-62'!$B$12</f>
        <v>AC MESSANCY</v>
      </c>
      <c r="G79" s="133" t="str">
        <f>'ADU-62'!$B$6</f>
        <v>Fonds propres</v>
      </c>
      <c r="H79" s="134">
        <f>'ADU-62'!$B$17</f>
        <v>330000</v>
      </c>
      <c r="I79" s="133" t="str">
        <f>'ADU-62'!$B$7</f>
        <v>Néant</v>
      </c>
      <c r="J79" s="134">
        <f>'ADU-62'!$B$18</f>
        <v>0</v>
      </c>
      <c r="K79" s="134">
        <f>'ADU-62'!$B$21</f>
        <v>22073.25</v>
      </c>
      <c r="L79" s="134">
        <f>'ADU-62'!$B$22</f>
        <v>0</v>
      </c>
      <c r="M79" s="135">
        <f>'ADU-62'!$B$24</f>
        <v>1.359111141313581</v>
      </c>
      <c r="N79" s="135">
        <f>'ADU-62'!$B$20/1000</f>
        <v>0</v>
      </c>
      <c r="O79" s="136">
        <f t="shared" ref="O79:O82" si="103">IF(H79=0,0,N79/(H79-J79)*1000)</f>
        <v>0</v>
      </c>
      <c r="P79" s="137" t="str">
        <f>'ADU-62'!$B$5</f>
        <v>A faire</v>
      </c>
      <c r="Q79" s="140">
        <f>'ADU-62'!$B$16</f>
        <v>2030</v>
      </c>
      <c r="R79" s="283" t="str">
        <f t="shared" ref="R79:R82" si="104">IF(P79="terminé", N79,"")</f>
        <v/>
      </c>
      <c r="S79" s="138">
        <f t="shared" ref="S79:S82" si="105">IF((P79="Terminé")*AND(E79="Territoire"),N79,0)</f>
        <v>0</v>
      </c>
      <c r="T79" s="138">
        <f t="shared" ref="T79:T82" si="106">IF((P79="Terminé")*AND(E79="Agriculture"),N79,0)</f>
        <v>0</v>
      </c>
      <c r="U79" s="138">
        <f t="shared" ref="U79:U82" si="107">IF((P79="Terminé")*AND(E79="Industrie"), N79,0)</f>
        <v>0</v>
      </c>
      <c r="V79" s="138">
        <f t="shared" ref="V79:V82" si="108">IF((P79="Terminé")*AND(E79="Logement"),N79,0)</f>
        <v>0</v>
      </c>
      <c r="W79" s="138">
        <f t="shared" ref="W79:W82" si="109">IF((P79="Terminé")*AND(E79="Tertiaire"),N79,0)</f>
        <v>0</v>
      </c>
      <c r="X79" s="138">
        <f t="shared" ref="X79:X82" si="110">IF((P79="Terminé")*AND(E79="Transport"),N79,0)</f>
        <v>0</v>
      </c>
      <c r="Y79" s="138">
        <f t="shared" ref="Y79:Y82" si="111">IF((P79="Terminé")*AND(E79="Communal"),N79,0)</f>
        <v>0</v>
      </c>
    </row>
    <row r="80" spans="1:25" s="139" customFormat="1" x14ac:dyDescent="0.25">
      <c r="A80" s="369" t="s">
        <v>1039</v>
      </c>
      <c r="B80" s="578" t="str">
        <f>'ADU-63'!B$3:E$3</f>
        <v>Mobilité</v>
      </c>
      <c r="C80" s="419" t="str">
        <f>'ADU-63'!$B$8</f>
        <v>Véhicules communaux</v>
      </c>
      <c r="D80" s="133" t="str">
        <f>'ADU-63'!$B$9</f>
        <v xml:space="preserve">Modernisation du parc </v>
      </c>
      <c r="E80" s="133" t="str">
        <f>'ADU-63'!$B$4</f>
        <v>Transport</v>
      </c>
      <c r="F80" s="133" t="str">
        <f>'ADU-63'!$B$12</f>
        <v>AC MESSANCY</v>
      </c>
      <c r="G80" s="133" t="str">
        <f>'ADU-63'!$B$6</f>
        <v>Fonds propres</v>
      </c>
      <c r="H80" s="134">
        <f>'ADU-63'!$B$17</f>
        <v>150000</v>
      </c>
      <c r="I80" s="133" t="str">
        <f>'ADU-63'!$B$7</f>
        <v>Néant</v>
      </c>
      <c r="J80" s="134">
        <f>'ADU-63'!$B$18</f>
        <v>0</v>
      </c>
      <c r="K80" s="134">
        <f>'ADU-63'!$B$21</f>
        <v>5576.4000000000005</v>
      </c>
      <c r="L80" s="134">
        <f>'ADU-63'!$B$22</f>
        <v>0</v>
      </c>
      <c r="M80" s="135">
        <f>'ADU-63'!$B$24</f>
        <v>26.899074671831286</v>
      </c>
      <c r="N80" s="135">
        <f>'ADU-63'!$B$20/1000</f>
        <v>0</v>
      </c>
      <c r="O80" s="136">
        <f t="shared" si="103"/>
        <v>0</v>
      </c>
      <c r="P80" s="137" t="str">
        <f>'ADU-63'!$B$5</f>
        <v>A faire</v>
      </c>
      <c r="Q80" s="140">
        <f>'ADU-63'!$B$16</f>
        <v>2030</v>
      </c>
      <c r="R80" s="283" t="str">
        <f t="shared" si="104"/>
        <v/>
      </c>
      <c r="S80" s="138">
        <f t="shared" si="105"/>
        <v>0</v>
      </c>
      <c r="T80" s="138">
        <f t="shared" si="106"/>
        <v>0</v>
      </c>
      <c r="U80" s="138">
        <f t="shared" si="107"/>
        <v>0</v>
      </c>
      <c r="V80" s="138">
        <f t="shared" si="108"/>
        <v>0</v>
      </c>
      <c r="W80" s="138">
        <f t="shared" si="109"/>
        <v>0</v>
      </c>
      <c r="X80" s="138">
        <f t="shared" si="110"/>
        <v>0</v>
      </c>
      <c r="Y80" s="138">
        <f t="shared" si="111"/>
        <v>0</v>
      </c>
    </row>
    <row r="81" spans="1:25" s="139" customFormat="1" x14ac:dyDescent="0.25">
      <c r="A81" s="369" t="s">
        <v>1040</v>
      </c>
      <c r="B81" s="578" t="str">
        <f>'ADU-64'!B$3:E$3</f>
        <v>Mobilité</v>
      </c>
      <c r="C81" s="419" t="str">
        <f>'ADU-64'!$B$8</f>
        <v>mobilité douce</v>
      </c>
      <c r="D81" s="133" t="str">
        <f>'ADU-64'!$B$9</f>
        <v>Voies lentes</v>
      </c>
      <c r="E81" s="133" t="str">
        <f>'ADU-64'!$B$4</f>
        <v>Transport</v>
      </c>
      <c r="F81" s="133" t="str">
        <f>'ADU-64'!$B$12</f>
        <v>AC MESSANCY</v>
      </c>
      <c r="G81" s="133" t="str">
        <f>'ADU-64'!$B$6</f>
        <v>Fonds propres</v>
      </c>
      <c r="H81" s="134">
        <f>'ADU-64'!$B$17</f>
        <v>100000</v>
      </c>
      <c r="I81" s="133" t="str">
        <f>'ADU-64'!$B$7</f>
        <v>Néant</v>
      </c>
      <c r="J81" s="134">
        <f>'ADU-64'!$B$18</f>
        <v>50000</v>
      </c>
      <c r="K81" s="134">
        <f>'ADU-64'!$B$21</f>
        <v>2112</v>
      </c>
      <c r="L81" s="134">
        <f>'ADU-64'!$B$22</f>
        <v>0</v>
      </c>
      <c r="M81" s="135">
        <f>'ADU-64'!$B$24</f>
        <v>23.674242424242426</v>
      </c>
      <c r="N81" s="135">
        <f>'ADU-64'!$B$20/1000</f>
        <v>0</v>
      </c>
      <c r="O81" s="136">
        <f t="shared" si="103"/>
        <v>0</v>
      </c>
      <c r="P81" s="137" t="str">
        <f>'ADU-64'!$B$5</f>
        <v>A faire</v>
      </c>
      <c r="Q81" s="140">
        <f>'ADU-64'!$B$16</f>
        <v>2021</v>
      </c>
      <c r="R81" s="283" t="str">
        <f t="shared" si="104"/>
        <v/>
      </c>
      <c r="S81" s="138">
        <f t="shared" si="105"/>
        <v>0</v>
      </c>
      <c r="T81" s="138">
        <f t="shared" si="106"/>
        <v>0</v>
      </c>
      <c r="U81" s="138">
        <f t="shared" si="107"/>
        <v>0</v>
      </c>
      <c r="V81" s="138">
        <f t="shared" si="108"/>
        <v>0</v>
      </c>
      <c r="W81" s="138">
        <f t="shared" si="109"/>
        <v>0</v>
      </c>
      <c r="X81" s="138">
        <f t="shared" si="110"/>
        <v>0</v>
      </c>
      <c r="Y81" s="138">
        <f t="shared" si="111"/>
        <v>0</v>
      </c>
    </row>
    <row r="82" spans="1:25" s="139" customFormat="1" x14ac:dyDescent="0.25">
      <c r="A82" s="369" t="s">
        <v>1041</v>
      </c>
      <c r="B82" s="578" t="str">
        <f>'ADU-65'!B$3:E$3</f>
        <v>Mobilité</v>
      </c>
      <c r="C82" s="419" t="str">
        <f>'ADU-65'!$B$8</f>
        <v>Travailleurs frontaliers</v>
      </c>
      <c r="D82" s="133" t="str">
        <f>'ADU-65'!$B$9</f>
        <v>Service de bus transfrontalier</v>
      </c>
      <c r="E82" s="133" t="str">
        <f>'ADU-65'!$B$4</f>
        <v>Transport</v>
      </c>
      <c r="F82" s="133" t="str">
        <f>'ADU-65'!$B$12</f>
        <v>Citoyen</v>
      </c>
      <c r="G82" s="133" t="str">
        <f>'ADU-65'!$B$6</f>
        <v>Fonds propres</v>
      </c>
      <c r="H82" s="134">
        <f>'ADU-65'!$B$17</f>
        <v>0</v>
      </c>
      <c r="I82" s="133" t="str">
        <f>'ADU-65'!$B$7</f>
        <v>Néant</v>
      </c>
      <c r="J82" s="134">
        <f>'ADU-65'!$B$18</f>
        <v>0</v>
      </c>
      <c r="K82" s="134">
        <f>'ADU-65'!$B$21</f>
        <v>12384</v>
      </c>
      <c r="L82" s="134">
        <f>'ADU-65'!$B$22</f>
        <v>0</v>
      </c>
      <c r="M82" s="135">
        <f>'ADU-65'!$B$24</f>
        <v>0</v>
      </c>
      <c r="N82" s="135">
        <f>'ADU-65'!$B$20/1000</f>
        <v>0</v>
      </c>
      <c r="O82" s="136">
        <f t="shared" si="103"/>
        <v>0</v>
      </c>
      <c r="P82" s="137" t="str">
        <f>'ADU-65'!$B$5</f>
        <v>A faire</v>
      </c>
      <c r="Q82" s="140">
        <f>'ADU-65'!$B$16</f>
        <v>2030</v>
      </c>
      <c r="R82" s="283" t="str">
        <f t="shared" si="104"/>
        <v/>
      </c>
      <c r="S82" s="138">
        <f t="shared" si="105"/>
        <v>0</v>
      </c>
      <c r="T82" s="138">
        <f t="shared" si="106"/>
        <v>0</v>
      </c>
      <c r="U82" s="138">
        <f t="shared" si="107"/>
        <v>0</v>
      </c>
      <c r="V82" s="138">
        <f t="shared" si="108"/>
        <v>0</v>
      </c>
      <c r="W82" s="138">
        <f t="shared" si="109"/>
        <v>0</v>
      </c>
      <c r="X82" s="138">
        <f t="shared" si="110"/>
        <v>0</v>
      </c>
      <c r="Y82" s="138">
        <f t="shared" si="111"/>
        <v>0</v>
      </c>
    </row>
    <row r="83" spans="1:25" s="139" customFormat="1" x14ac:dyDescent="0.25">
      <c r="A83" s="369" t="s">
        <v>805</v>
      </c>
      <c r="B83" s="414" t="str">
        <f>'ADU-70'!B$3:E$3</f>
        <v>ER Electricité</v>
      </c>
      <c r="C83" s="419" t="str">
        <f>'ADU-70'!$B$8</f>
        <v>Logement</v>
      </c>
      <c r="D83" s="133" t="str">
        <f>'ADU-70'!$B$9</f>
        <v xml:space="preserve"> PhV &lt; 10 kWc - existant</v>
      </c>
      <c r="E83" s="133" t="str">
        <f>'ADU-70'!$B$4</f>
        <v>Logement</v>
      </c>
      <c r="F83" s="133" t="str">
        <f>'ADU-70'!$B$12</f>
        <v>Citoyen</v>
      </c>
      <c r="G83" s="133" t="str">
        <f>'ADU-70'!$B$6</f>
        <v>Fonds propres</v>
      </c>
      <c r="H83" s="134">
        <f>'ADU-70'!$B$17</f>
        <v>6098400.0000000009</v>
      </c>
      <c r="I83" s="133" t="str">
        <f>'ADU-70'!$B$7</f>
        <v>CV</v>
      </c>
      <c r="J83" s="134">
        <f>'ADU-70'!$B$18</f>
        <v>0</v>
      </c>
      <c r="K83" s="134">
        <f>'ADU-70'!$B$21</f>
        <v>598752</v>
      </c>
      <c r="L83" s="134">
        <f>'ADU-70'!$B$22</f>
        <v>648648</v>
      </c>
      <c r="M83" s="135">
        <f>'ADU-70'!$B$24</f>
        <v>4.8888888888888893</v>
      </c>
      <c r="N83" s="135">
        <f>'ADU-70'!$B$20/1000</f>
        <v>2494.8000000000002</v>
      </c>
      <c r="O83" s="136"/>
      <c r="P83" s="137" t="str">
        <f>'ADU-70'!$B$5</f>
        <v>Terminé</v>
      </c>
      <c r="Q83" s="140">
        <f>'ADU-70'!$B$16</f>
        <v>2017</v>
      </c>
      <c r="R83" s="283">
        <f>IF(P83="terminé", N83,"")</f>
        <v>2494.8000000000002</v>
      </c>
      <c r="S83" s="138">
        <f>IF((P83="Terminé")*AND(E83="Territoire"),N83,0)</f>
        <v>0</v>
      </c>
      <c r="T83" s="138">
        <f>IF((P83="Terminé")*AND(E83="Agriculture"),N83,0)</f>
        <v>0</v>
      </c>
      <c r="U83" s="138">
        <f>IF((P83="Terminé")*AND(E83="Industrie"), N83,0)</f>
        <v>0</v>
      </c>
      <c r="V83" s="138">
        <f>IF((P83="Terminé")*AND(E83="Logement"),N83,0)</f>
        <v>2494.8000000000002</v>
      </c>
      <c r="W83" s="138">
        <f>IF((P83="Terminé")*AND(E83="Tertiaire"),N83,0)</f>
        <v>0</v>
      </c>
      <c r="X83" s="138">
        <f>IF((P83="Terminé")*AND(E83="Transport"),N83,0)</f>
        <v>0</v>
      </c>
      <c r="Y83" s="138">
        <f>IF((P83="Terminé")*AND(E83="Communal"),N83,0)</f>
        <v>0</v>
      </c>
    </row>
    <row r="84" spans="1:25" s="139" customFormat="1" x14ac:dyDescent="0.25">
      <c r="A84" s="369" t="s">
        <v>804</v>
      </c>
      <c r="B84" s="414" t="str">
        <f>'ADU-71'!B$3:E$3</f>
        <v>ER Electricité</v>
      </c>
      <c r="C84" s="419" t="str">
        <f>'ADU-71'!$B$8</f>
        <v>Bâtiments tertiaires</v>
      </c>
      <c r="D84" s="133" t="str">
        <f>'ADU-71'!$B$9</f>
        <v>PhV &gt; 10 kWc - existant</v>
      </c>
      <c r="E84" s="133" t="str">
        <f>'ADU-71'!$B$4</f>
        <v>Tertiaire</v>
      </c>
      <c r="F84" s="133" t="str">
        <f>'ADU-71'!$B$12</f>
        <v>Tertiaire</v>
      </c>
      <c r="G84" s="133" t="str">
        <f>'ADU-71'!$B$6</f>
        <v>Fonds propres</v>
      </c>
      <c r="H84" s="134">
        <f>'ADU-71'!$B$17</f>
        <v>1659405</v>
      </c>
      <c r="I84" s="133" t="str">
        <f>'ADU-71'!$B$7</f>
        <v>CV</v>
      </c>
      <c r="J84" s="134">
        <f>'ADU-71'!$B$18</f>
        <v>0</v>
      </c>
      <c r="K84" s="134">
        <f>'ADU-71'!$B$21</f>
        <v>268488</v>
      </c>
      <c r="L84" s="134">
        <f>'ADU-71'!$B$22</f>
        <v>290862</v>
      </c>
      <c r="M84" s="135">
        <f>'ADU-71'!$B$24</f>
        <v>2.9666666666666668</v>
      </c>
      <c r="N84" s="135">
        <f>'ADU-71'!$B$20/1000</f>
        <v>1118.7</v>
      </c>
      <c r="O84" s="136"/>
      <c r="P84" s="137" t="str">
        <f>'ADU-71'!$B$5</f>
        <v>Terminé</v>
      </c>
      <c r="Q84" s="140">
        <f>'ADU-71'!$B$16</f>
        <v>2018</v>
      </c>
      <c r="R84" s="283">
        <f t="shared" ref="R84:R103" si="112">IF(P84="terminé", N84,"")</f>
        <v>1118.7</v>
      </c>
      <c r="S84" s="138">
        <f>IF((P84="Terminé")*AND(E84="Territoire"),N84,0)</f>
        <v>0</v>
      </c>
      <c r="T84" s="138">
        <f>IF((P84="Terminé")*AND(E84="Agriculture"),N84,0)</f>
        <v>0</v>
      </c>
      <c r="U84" s="138">
        <f>IF((P84="Terminé")*AND(E84="Industrie"), N84,0)</f>
        <v>0</v>
      </c>
      <c r="V84" s="138">
        <f>IF((P84="Terminé")*AND(E84="Logement"),N84,0)</f>
        <v>0</v>
      </c>
      <c r="W84" s="138">
        <f>IF((P84="Terminé")*AND(E84="Tertiaire"),N84,0)</f>
        <v>1118.7</v>
      </c>
      <c r="X84" s="138">
        <f>IF((P84="Terminé")*AND(E84="Transport"),N84,0)</f>
        <v>0</v>
      </c>
      <c r="Y84" s="138">
        <f>IF((P84="Terminé")*AND(E84="Communal"),N84,0)</f>
        <v>0</v>
      </c>
    </row>
    <row r="85" spans="1:25" s="139" customFormat="1" x14ac:dyDescent="0.25">
      <c r="A85" s="369" t="s">
        <v>803</v>
      </c>
      <c r="B85" s="414" t="str">
        <f>'ADU-72'!B$3:E$3</f>
        <v>ER Electricité</v>
      </c>
      <c r="C85" s="419" t="str">
        <f>'ADU-72'!$B$8</f>
        <v>Logement</v>
      </c>
      <c r="D85" s="133" t="str">
        <f>'ADU-72'!$B$9</f>
        <v>PhV &lt; 10 kWc</v>
      </c>
      <c r="E85" s="133" t="str">
        <f>'ADU-72'!$B$4</f>
        <v>Logement</v>
      </c>
      <c r="F85" s="133" t="str">
        <f>'ADU-72'!$B$12</f>
        <v>Citoyen</v>
      </c>
      <c r="G85" s="133" t="str">
        <f>'ADU-72'!$B$6</f>
        <v>Prêt bancaire</v>
      </c>
      <c r="H85" s="134">
        <f>'ADU-72'!$B$17</f>
        <v>3093720.0000000005</v>
      </c>
      <c r="I85" s="133" t="str">
        <f>'ADU-72'!$B$7</f>
        <v>Primes RW</v>
      </c>
      <c r="J85" s="134">
        <f>'ADU-72'!$B$18</f>
        <v>-1658279.9999999995</v>
      </c>
      <c r="K85" s="134">
        <f>'ADU-72'!$B$21</f>
        <v>594000</v>
      </c>
      <c r="L85" s="134">
        <f>'ADU-72'!$B$22</f>
        <v>0</v>
      </c>
      <c r="M85" s="135">
        <f>'ADU-72'!$B$24</f>
        <v>8</v>
      </c>
      <c r="N85" s="135">
        <f>'ADU-72'!$B$20/1000</f>
        <v>2376</v>
      </c>
      <c r="O85" s="136"/>
      <c r="P85" s="137" t="str">
        <f>'ADU-72'!$B$5</f>
        <v>A faire</v>
      </c>
      <c r="Q85" s="140">
        <f>'ADU-72'!$B$16</f>
        <v>2030</v>
      </c>
      <c r="R85" s="283" t="str">
        <f t="shared" si="112"/>
        <v/>
      </c>
      <c r="S85" s="138">
        <f t="shared" ref="S85:S103" si="113">IF((P85="Terminé")*AND(E85="Territoire"),N85,0)</f>
        <v>0</v>
      </c>
      <c r="T85" s="138">
        <f t="shared" ref="T85:T103" si="114">IF((P85="Terminé")*AND(E85="Agriculture"),N85,0)</f>
        <v>0</v>
      </c>
      <c r="U85" s="138">
        <f t="shared" ref="U85:U103" si="115">IF((P85="Terminé")*AND(E85="Industrie"), N85,0)</f>
        <v>0</v>
      </c>
      <c r="V85" s="138">
        <f t="shared" ref="V85:V103" si="116">IF((P85="Terminé")*AND(E85="Logement"),N85,0)</f>
        <v>0</v>
      </c>
      <c r="W85" s="138">
        <f t="shared" ref="W85:W103" si="117">IF((P85="Terminé")*AND(E85="Tertiaire"),N85,0)</f>
        <v>0</v>
      </c>
      <c r="X85" s="138">
        <f t="shared" ref="X85:X103" si="118">IF((P85="Terminé")*AND(E85="Transport"),N85,0)</f>
        <v>0</v>
      </c>
      <c r="Y85" s="138">
        <f t="shared" ref="Y85:Y103" si="119">IF((P85="Terminé")*AND(E85="Communal"),N85,0)</f>
        <v>0</v>
      </c>
    </row>
    <row r="86" spans="1:25" s="139" customFormat="1" x14ac:dyDescent="0.25">
      <c r="A86" s="369" t="s">
        <v>802</v>
      </c>
      <c r="B86" s="414" t="str">
        <f>'ADU-73'!B$3:E$3</f>
        <v>ER Electricité</v>
      </c>
      <c r="C86" s="419" t="str">
        <f>'ADU-73'!$B$8</f>
        <v>Bâtiments communaux</v>
      </c>
      <c r="D86" s="133" t="str">
        <f>'ADU-73'!$B$9</f>
        <v>PhV &lt; 10 kWc</v>
      </c>
      <c r="E86" s="133" t="str">
        <f>'ADU-73'!$B$4</f>
        <v>Communal</v>
      </c>
      <c r="F86" s="133" t="str">
        <f>'ADU-73'!$B$12</f>
        <v>AC MESSANCY</v>
      </c>
      <c r="G86" s="133" t="str">
        <f>'ADU-73'!$B$6</f>
        <v>Prêt bancaire</v>
      </c>
      <c r="H86" s="134">
        <f>'ADU-73'!$B$17</f>
        <v>46405.8</v>
      </c>
      <c r="I86" s="133" t="str">
        <f>'ADU-73'!$B$7</f>
        <v>Primes RW</v>
      </c>
      <c r="J86" s="134">
        <f>'ADU-73'!$B$18</f>
        <v>-39994.199999999997</v>
      </c>
      <c r="K86" s="134">
        <f>'ADU-73'!$B$21</f>
        <v>10800</v>
      </c>
      <c r="L86" s="134">
        <f>'ADU-73'!$B$22</f>
        <v>0</v>
      </c>
      <c r="M86" s="135">
        <f>'ADU-73'!$B$24</f>
        <v>8</v>
      </c>
      <c r="N86" s="135">
        <f>'ADU-73'!$B$20/1000</f>
        <v>43.2</v>
      </c>
      <c r="O86" s="136"/>
      <c r="P86" s="137" t="str">
        <f>'ADU-73'!$B$5</f>
        <v>A faire</v>
      </c>
      <c r="Q86" s="140">
        <f>'ADU-73'!$B$16</f>
        <v>2030</v>
      </c>
      <c r="R86" s="283" t="str">
        <f t="shared" si="112"/>
        <v/>
      </c>
      <c r="S86" s="138">
        <f t="shared" si="113"/>
        <v>0</v>
      </c>
      <c r="T86" s="138">
        <f t="shared" si="114"/>
        <v>0</v>
      </c>
      <c r="U86" s="138">
        <f t="shared" si="115"/>
        <v>0</v>
      </c>
      <c r="V86" s="138">
        <f t="shared" si="116"/>
        <v>0</v>
      </c>
      <c r="W86" s="138">
        <f t="shared" si="117"/>
        <v>0</v>
      </c>
      <c r="X86" s="138">
        <f t="shared" si="118"/>
        <v>0</v>
      </c>
      <c r="Y86" s="138">
        <f t="shared" si="119"/>
        <v>0</v>
      </c>
    </row>
    <row r="87" spans="1:25" s="139" customFormat="1" x14ac:dyDescent="0.25">
      <c r="A87" s="369" t="s">
        <v>801</v>
      </c>
      <c r="B87" s="414" t="str">
        <f>'ADU-74'!B$3:E$3</f>
        <v>ER Electricité</v>
      </c>
      <c r="C87" s="419" t="str">
        <f>'ADU-74'!$B$8</f>
        <v>Bâtiments industriels</v>
      </c>
      <c r="D87" s="133" t="str">
        <f>'ADU-74'!$B$9</f>
        <v>Phv &gt; 10 kWc</v>
      </c>
      <c r="E87" s="133" t="str">
        <f>'ADU-74'!$B$4</f>
        <v>Industrie</v>
      </c>
      <c r="F87" s="133" t="str">
        <f>'ADU-74'!$B$12</f>
        <v>Industrie</v>
      </c>
      <c r="G87" s="133" t="str">
        <f>'ADU-74'!$B$6</f>
        <v>Fonds propres</v>
      </c>
      <c r="H87" s="134">
        <f>'ADU-74'!$B$17</f>
        <v>484000</v>
      </c>
      <c r="I87" s="133" t="str">
        <f>'ADU-74'!$B$7</f>
        <v>CV</v>
      </c>
      <c r="J87" s="134">
        <f>'ADU-74'!$B$18</f>
        <v>0</v>
      </c>
      <c r="K87" s="134">
        <f>'ADU-74'!$B$21</f>
        <v>27000</v>
      </c>
      <c r="L87" s="134">
        <f>'ADU-74'!$B$22</f>
        <v>28080</v>
      </c>
      <c r="M87" s="135">
        <f>'ADU-74'!$B$24</f>
        <v>8.7872185911401601</v>
      </c>
      <c r="N87" s="135">
        <f>'ADU-74'!$B$20/1000</f>
        <v>180</v>
      </c>
      <c r="O87" s="136"/>
      <c r="P87" s="137" t="str">
        <f>'ADU-74'!$B$5</f>
        <v>A faire</v>
      </c>
      <c r="Q87" s="140">
        <f>'ADU-74'!$B$16</f>
        <v>2030</v>
      </c>
      <c r="R87" s="283" t="str">
        <f t="shared" si="112"/>
        <v/>
      </c>
      <c r="S87" s="138">
        <f t="shared" si="113"/>
        <v>0</v>
      </c>
      <c r="T87" s="138">
        <f t="shared" si="114"/>
        <v>0</v>
      </c>
      <c r="U87" s="138">
        <f t="shared" si="115"/>
        <v>0</v>
      </c>
      <c r="V87" s="138">
        <f t="shared" si="116"/>
        <v>0</v>
      </c>
      <c r="W87" s="138">
        <f t="shared" si="117"/>
        <v>0</v>
      </c>
      <c r="X87" s="138">
        <f t="shared" si="118"/>
        <v>0</v>
      </c>
      <c r="Y87" s="138">
        <f t="shared" si="119"/>
        <v>0</v>
      </c>
    </row>
    <row r="88" spans="1:25" s="139" customFormat="1" x14ac:dyDescent="0.25">
      <c r="A88" s="369" t="s">
        <v>800</v>
      </c>
      <c r="B88" s="414" t="str">
        <f>'ADU-75'!B$3:E$3</f>
        <v>ER Electricité</v>
      </c>
      <c r="C88" s="419" t="str">
        <f>'ADU-75'!$B$8</f>
        <v>Bâtiments agricoles</v>
      </c>
      <c r="D88" s="133" t="str">
        <f>'ADU-75'!$B$9</f>
        <v>PhV &lt;10 kWc</v>
      </c>
      <c r="E88" s="133" t="str">
        <f>'ADU-75'!$B$4</f>
        <v>Agriculture</v>
      </c>
      <c r="F88" s="133" t="str">
        <f>'ADU-75'!$B$12</f>
        <v>Agriculture</v>
      </c>
      <c r="G88" s="133" t="str">
        <f>'ADU-75'!$B$6</f>
        <v>1/3 invest</v>
      </c>
      <c r="H88" s="134">
        <f>'ADU-75'!$B$17</f>
        <v>48400</v>
      </c>
      <c r="I88" s="133" t="str">
        <f>'ADU-75'!$B$7</f>
        <v>CV</v>
      </c>
      <c r="J88" s="134">
        <f>'ADU-75'!$B$18</f>
        <v>0</v>
      </c>
      <c r="K88" s="134">
        <f>'ADU-75'!$B$21</f>
        <v>3600</v>
      </c>
      <c r="L88" s="134">
        <f>'ADU-75'!$B$22</f>
        <v>2808</v>
      </c>
      <c r="M88" s="135">
        <f>'ADU-75'!$B$24</f>
        <v>7.5530586766541825</v>
      </c>
      <c r="N88" s="135">
        <f>'ADU-75'!$B$20/1000</f>
        <v>18</v>
      </c>
      <c r="O88" s="136"/>
      <c r="P88" s="137" t="str">
        <f>'ADU-75'!$B$5</f>
        <v>A faire</v>
      </c>
      <c r="Q88" s="140">
        <f>'ADU-75'!$B$16</f>
        <v>2030</v>
      </c>
      <c r="R88" s="283" t="str">
        <f t="shared" si="112"/>
        <v/>
      </c>
      <c r="S88" s="138">
        <f t="shared" si="113"/>
        <v>0</v>
      </c>
      <c r="T88" s="138">
        <f t="shared" si="114"/>
        <v>0</v>
      </c>
      <c r="U88" s="138">
        <f t="shared" si="115"/>
        <v>0</v>
      </c>
      <c r="V88" s="138">
        <f t="shared" si="116"/>
        <v>0</v>
      </c>
      <c r="W88" s="138">
        <f t="shared" si="117"/>
        <v>0</v>
      </c>
      <c r="X88" s="138">
        <f t="shared" si="118"/>
        <v>0</v>
      </c>
      <c r="Y88" s="138">
        <f t="shared" si="119"/>
        <v>0</v>
      </c>
    </row>
    <row r="89" spans="1:25" s="139" customFormat="1" x14ac:dyDescent="0.25">
      <c r="A89" s="369" t="s">
        <v>799</v>
      </c>
      <c r="B89" s="414" t="str">
        <f>'ADU-76'!B$3:E$3</f>
        <v>ER Electricité</v>
      </c>
      <c r="C89" s="419" t="str">
        <f>'ADU-76'!$B$8</f>
        <v>Bâtiments tertiaires</v>
      </c>
      <c r="D89" s="133" t="str">
        <f>'ADU-76'!$B$9</f>
        <v>Phv &lt;  10 kWc</v>
      </c>
      <c r="E89" s="133" t="str">
        <f>'ADU-76'!$B$4</f>
        <v>Tertiaire</v>
      </c>
      <c r="F89" s="133" t="str">
        <f>'ADU-76'!$B$12</f>
        <v>Tertiaire</v>
      </c>
      <c r="G89" s="133" t="str">
        <f>'ADU-76'!$B$6</f>
        <v>Fonds propres</v>
      </c>
      <c r="H89" s="134">
        <f>'ADU-76'!$B$17</f>
        <v>77343.000000000015</v>
      </c>
      <c r="I89" s="133" t="str">
        <f>'ADU-76'!$B$7</f>
        <v>Primes RW</v>
      </c>
      <c r="J89" s="134">
        <f>'ADU-76'!$B$18</f>
        <v>49993.000000000015</v>
      </c>
      <c r="K89" s="134">
        <f>'ADU-76'!$B$21</f>
        <v>22500</v>
      </c>
      <c r="L89" s="134">
        <f>'ADU-76'!$B$22</f>
        <v>0</v>
      </c>
      <c r="M89" s="135">
        <f>'ADU-76'!$B$24</f>
        <v>1.2155555555555555</v>
      </c>
      <c r="N89" s="135">
        <f>'ADU-76'!$B$20/1000</f>
        <v>90</v>
      </c>
      <c r="O89" s="136"/>
      <c r="P89" s="137" t="str">
        <f>'ADU-76'!$B$5</f>
        <v>A faire</v>
      </c>
      <c r="Q89" s="140">
        <f>'ADU-76'!$B$16</f>
        <v>2030</v>
      </c>
      <c r="R89" s="283" t="str">
        <f t="shared" si="112"/>
        <v/>
      </c>
      <c r="S89" s="138">
        <f t="shared" si="113"/>
        <v>0</v>
      </c>
      <c r="T89" s="138">
        <f t="shared" si="114"/>
        <v>0</v>
      </c>
      <c r="U89" s="138">
        <f t="shared" si="115"/>
        <v>0</v>
      </c>
      <c r="V89" s="138">
        <f t="shared" si="116"/>
        <v>0</v>
      </c>
      <c r="W89" s="138">
        <f t="shared" si="117"/>
        <v>0</v>
      </c>
      <c r="X89" s="138">
        <f t="shared" si="118"/>
        <v>0</v>
      </c>
      <c r="Y89" s="138">
        <f t="shared" si="119"/>
        <v>0</v>
      </c>
    </row>
    <row r="90" spans="1:25" s="139" customFormat="1" x14ac:dyDescent="0.25">
      <c r="A90" s="369" t="s">
        <v>844</v>
      </c>
      <c r="B90" s="472" t="str">
        <f>'ADU-77'!B$3:E$3</f>
        <v>ER Electricité</v>
      </c>
      <c r="C90" s="419" t="str">
        <f>'ADU-77'!$B$8</f>
        <v>Bâtiments communaux</v>
      </c>
      <c r="D90" s="133" t="str">
        <f>'ADU-77'!$B$9</f>
        <v xml:space="preserve"> PhV &lt; 10 kWc - existant</v>
      </c>
      <c r="E90" s="133" t="str">
        <f>'ADU-77'!$B$4</f>
        <v>Communal</v>
      </c>
      <c r="F90" s="133" t="str">
        <f>'ADU-77'!$B$12</f>
        <v>AC MESSANCY</v>
      </c>
      <c r="G90" s="133" t="str">
        <f>'ADU-77'!$B$6</f>
        <v>Fonds propres</v>
      </c>
      <c r="H90" s="134">
        <f>'ADU-77'!$B$17</f>
        <v>37800</v>
      </c>
      <c r="I90" s="133" t="str">
        <f>'ADU-77'!$B$7</f>
        <v>Primes RW</v>
      </c>
      <c r="J90" s="134">
        <f>'ADU-77'!$B$18</f>
        <v>1872</v>
      </c>
      <c r="K90" s="134">
        <f>'ADU-77'!$B$21</f>
        <v>6804</v>
      </c>
      <c r="L90" s="134">
        <f>'ADU-77'!$B$22</f>
        <v>7371</v>
      </c>
      <c r="M90" s="135">
        <f>'ADU-77'!$B$24</f>
        <v>2.5346031746031747</v>
      </c>
      <c r="N90" s="135">
        <f>'ADU-77'!$B$20/1000</f>
        <v>28.35</v>
      </c>
      <c r="O90" s="136"/>
      <c r="P90" s="137" t="str">
        <f>'ADU-77'!$B$5</f>
        <v>Terminé</v>
      </c>
      <c r="Q90" s="140">
        <f>'ADU-77'!$B$16</f>
        <v>2018</v>
      </c>
      <c r="R90" s="283">
        <f>IF(P90="terminé", N90,"")</f>
        <v>28.35</v>
      </c>
      <c r="S90" s="138">
        <f>IF((P90="Terminé")*AND(E90="Territoire"),N90,0)</f>
        <v>0</v>
      </c>
      <c r="T90" s="138">
        <f>IF((P90="Terminé")*AND(E90="Agriculture"),N90,0)</f>
        <v>0</v>
      </c>
      <c r="U90" s="138">
        <f>IF((P90="Terminé")*AND(E90="Industrie"), N90,0)</f>
        <v>0</v>
      </c>
      <c r="V90" s="138">
        <f>IF((P90="Terminé")*AND(E90="Logement"),N90,0)</f>
        <v>0</v>
      </c>
      <c r="W90" s="138">
        <f>IF((P90="Terminé")*AND(E90="Tertiaire"),N90,0)</f>
        <v>0</v>
      </c>
      <c r="X90" s="138">
        <f>IF((P90="Terminé")*AND(E90="Transport"),N90,0)</f>
        <v>0</v>
      </c>
      <c r="Y90" s="138">
        <f>IF((P90="Terminé")*AND(E90="Communal"),N90,0)</f>
        <v>28.35</v>
      </c>
    </row>
    <row r="91" spans="1:25" s="139" customFormat="1" x14ac:dyDescent="0.25">
      <c r="A91" s="369" t="s">
        <v>798</v>
      </c>
      <c r="B91" s="414" t="str">
        <f>'ADU-80'!B$3:E$3</f>
        <v>ER Electricité</v>
      </c>
      <c r="C91" s="419" t="str">
        <f>'ADU-123'!$B$8</f>
        <v>Production de combustible biomasse</v>
      </c>
      <c r="D91" s="133" t="str">
        <f>'ADU-80'!$B$9</f>
        <v>Participation parcs éoliens</v>
      </c>
      <c r="E91" s="133" t="str">
        <f>'ADU-80'!$B$4</f>
        <v>Territoire</v>
      </c>
      <c r="F91" s="133" t="str">
        <f>'ADU-80'!$B$12</f>
        <v>AC MESSANCY</v>
      </c>
      <c r="G91" s="133" t="str">
        <f>'ADU-80'!$B$6</f>
        <v>Montage</v>
      </c>
      <c r="H91" s="134">
        <f>'ADU-80'!$B$17</f>
        <v>447079.82401005662</v>
      </c>
      <c r="I91" s="133" t="str">
        <f>'ADU-80'!$B$7</f>
        <v>Subs RW</v>
      </c>
      <c r="J91" s="134">
        <f>'ADU-80'!$B$18</f>
        <v>134123.94720301699</v>
      </c>
      <c r="K91" s="134">
        <f>'ADU-80'!$B$21</f>
        <v>12695.301907515492</v>
      </c>
      <c r="L91" s="134">
        <f>'ADU-80'!$B$22</f>
        <v>0</v>
      </c>
      <c r="M91" s="135">
        <f>'ADU-80'!$B$24</f>
        <v>24.651314248916982</v>
      </c>
      <c r="N91" s="135">
        <f>'ADU-80'!$B$20/1000</f>
        <v>317.38254768788727</v>
      </c>
      <c r="O91" s="136">
        <f>IF(H91=0,0,N91/(H91-J91)*1000)</f>
        <v>1.0141447124304268</v>
      </c>
      <c r="P91" s="137" t="str">
        <f>'ADU-80'!$B$5</f>
        <v>Terminé</v>
      </c>
      <c r="Q91" s="140">
        <f>'ADU-80'!$B$16</f>
        <v>2015</v>
      </c>
      <c r="R91" s="283">
        <f t="shared" si="112"/>
        <v>317.38254768788727</v>
      </c>
      <c r="S91" s="138">
        <f t="shared" si="113"/>
        <v>317.38254768788727</v>
      </c>
      <c r="T91" s="138">
        <f t="shared" si="114"/>
        <v>0</v>
      </c>
      <c r="U91" s="138">
        <f t="shared" si="115"/>
        <v>0</v>
      </c>
      <c r="V91" s="138">
        <f t="shared" si="116"/>
        <v>0</v>
      </c>
      <c r="W91" s="138">
        <f t="shared" si="117"/>
        <v>0</v>
      </c>
      <c r="X91" s="138">
        <f t="shared" si="118"/>
        <v>0</v>
      </c>
      <c r="Y91" s="138">
        <f t="shared" si="119"/>
        <v>0</v>
      </c>
    </row>
    <row r="92" spans="1:25" s="139" customFormat="1" x14ac:dyDescent="0.25">
      <c r="A92" s="369" t="s">
        <v>797</v>
      </c>
      <c r="B92" s="414" t="str">
        <f>'ADU-81'!B$3:E$3</f>
        <v>ER Electricité</v>
      </c>
      <c r="C92" s="419" t="str">
        <f>'ADU-81'!$B$8</f>
        <v>Exploitation agricole</v>
      </c>
      <c r="D92" s="133" t="str">
        <f>'ADU-81'!$B$9</f>
        <v>Eolienne de 10 kW</v>
      </c>
      <c r="E92" s="133" t="str">
        <f>'ADU-81'!$B$4</f>
        <v>Agriculture</v>
      </c>
      <c r="F92" s="133" t="str">
        <f>'ADU-81'!$B$12</f>
        <v>Industrie</v>
      </c>
      <c r="G92" s="133" t="str">
        <f>'ADU-81'!$B$6</f>
        <v>Prêt bancaire</v>
      </c>
      <c r="H92" s="134">
        <f>'ADU-81'!$B$17</f>
        <v>97000</v>
      </c>
      <c r="I92" s="133" t="str">
        <f>'ADU-81'!$B$7</f>
        <v>CV</v>
      </c>
      <c r="J92" s="134">
        <f>'ADU-81'!$B$18</f>
        <v>19400</v>
      </c>
      <c r="K92" s="134">
        <f>'ADU-81'!$B$21</f>
        <v>8863.5</v>
      </c>
      <c r="L92" s="134">
        <f>'ADU-81'!$B$22</f>
        <v>2304.5100000000002</v>
      </c>
      <c r="M92" s="135">
        <f>'ADU-81'!$B$24</f>
        <v>6.9484178470470566</v>
      </c>
      <c r="N92" s="135">
        <f>'ADU-81'!$B$20/1000</f>
        <v>35.454000000000001</v>
      </c>
      <c r="O92" s="136"/>
      <c r="P92" s="137" t="str">
        <f>'ADU-81'!$B$5</f>
        <v>A faire</v>
      </c>
      <c r="Q92" s="140">
        <f>'ADU-81'!$B$16</f>
        <v>2030</v>
      </c>
      <c r="R92" s="283" t="str">
        <f t="shared" si="112"/>
        <v/>
      </c>
      <c r="S92" s="138">
        <f t="shared" si="113"/>
        <v>0</v>
      </c>
      <c r="T92" s="138">
        <f t="shared" si="114"/>
        <v>0</v>
      </c>
      <c r="U92" s="138">
        <f t="shared" si="115"/>
        <v>0</v>
      </c>
      <c r="V92" s="138">
        <f t="shared" si="116"/>
        <v>0</v>
      </c>
      <c r="W92" s="138">
        <f t="shared" si="117"/>
        <v>0</v>
      </c>
      <c r="X92" s="138">
        <f t="shared" si="118"/>
        <v>0</v>
      </c>
      <c r="Y92" s="138">
        <f t="shared" si="119"/>
        <v>0</v>
      </c>
    </row>
    <row r="93" spans="1:25" s="139" customFormat="1" x14ac:dyDescent="0.25">
      <c r="A93" s="369" t="s">
        <v>796</v>
      </c>
      <c r="B93" s="414" t="str">
        <f>'ADU-82'!B$3:E$3</f>
        <v>ER Electricité</v>
      </c>
      <c r="C93" s="419" t="str">
        <f>'ADU-82'!$B$8</f>
        <v xml:space="preserve">Grand éolien </v>
      </c>
      <c r="D93" s="133" t="str">
        <f>'ADU-82'!$B$9</f>
        <v>Parc éolien de Hondelange</v>
      </c>
      <c r="E93" s="133" t="str">
        <f>'ADU-82'!$B$4</f>
        <v>Communal</v>
      </c>
      <c r="F93" s="133" t="str">
        <f>'ADU-82'!$B$12</f>
        <v>AC MESSANCY</v>
      </c>
      <c r="G93" s="133" t="str">
        <f>'ADU-82'!$B$6</f>
        <v>Montage</v>
      </c>
      <c r="H93" s="134">
        <f>'ADU-82'!$B$17</f>
        <v>15000000</v>
      </c>
      <c r="I93" s="133" t="str">
        <f>'ADU-82'!$B$7</f>
        <v>CV</v>
      </c>
      <c r="J93" s="134">
        <f>'ADU-82'!$B$18</f>
        <v>3000000</v>
      </c>
      <c r="K93" s="134">
        <f>'ADU-82'!$B$21</f>
        <v>863304.6980924845</v>
      </c>
      <c r="L93" s="134">
        <f>'ADU-82'!$B$22</f>
        <v>1402870.1344002872</v>
      </c>
      <c r="M93" s="135">
        <f>'ADU-82'!$B$24</f>
        <v>5.2952666440126821</v>
      </c>
      <c r="N93" s="135">
        <f>'ADU-82'!$B$20/1000</f>
        <v>21582.617452312112</v>
      </c>
      <c r="O93" s="136"/>
      <c r="P93" s="137" t="str">
        <f>'ADU-82'!$B$5</f>
        <v>Terminé</v>
      </c>
      <c r="Q93" s="140">
        <f>'ADU-82'!$B$16</f>
        <v>2016</v>
      </c>
      <c r="R93" s="283">
        <f t="shared" si="112"/>
        <v>21582.617452312112</v>
      </c>
      <c r="S93" s="138">
        <f t="shared" si="113"/>
        <v>0</v>
      </c>
      <c r="T93" s="138">
        <f t="shared" si="114"/>
        <v>0</v>
      </c>
      <c r="U93" s="138">
        <f t="shared" si="115"/>
        <v>0</v>
      </c>
      <c r="V93" s="138">
        <f t="shared" si="116"/>
        <v>0</v>
      </c>
      <c r="W93" s="138">
        <f t="shared" si="117"/>
        <v>0</v>
      </c>
      <c r="X93" s="138">
        <f t="shared" si="118"/>
        <v>0</v>
      </c>
      <c r="Y93" s="138">
        <f t="shared" si="119"/>
        <v>21582.617452312112</v>
      </c>
    </row>
    <row r="94" spans="1:25" s="139" customFormat="1" x14ac:dyDescent="0.25">
      <c r="A94" s="369" t="s">
        <v>841</v>
      </c>
      <c r="B94" s="463" t="str">
        <f>'ADU-83'!B$3:E$3</f>
        <v>ER Electricité</v>
      </c>
      <c r="C94" s="419" t="str">
        <f>'ADU-83'!$B$8</f>
        <v>Hydroélectricité</v>
      </c>
      <c r="D94" s="133" t="str">
        <f>'ADU-83'!$B$9</f>
        <v>Restauration de moulins</v>
      </c>
      <c r="E94" s="133" t="str">
        <f>'ADU-83'!$B$4</f>
        <v>Logement</v>
      </c>
      <c r="F94" s="133" t="str">
        <f>'ADU-83'!$B$12</f>
        <v>Citoyen</v>
      </c>
      <c r="G94" s="133" t="str">
        <f>'ADU-83'!$B$6</f>
        <v>Montage</v>
      </c>
      <c r="H94" s="134">
        <f>'ADU-83'!$B$17</f>
        <v>50000</v>
      </c>
      <c r="I94" s="133" t="str">
        <f>'ADU-83'!$B$7</f>
        <v>CV</v>
      </c>
      <c r="J94" s="134">
        <f>'ADU-83'!$B$18</f>
        <v>10000</v>
      </c>
      <c r="K94" s="134">
        <f>'ADU-83'!$B$21</f>
        <v>686.78399999999999</v>
      </c>
      <c r="L94" s="134">
        <f>'ADU-83'!$B$22</f>
        <v>1116.0239999999999</v>
      </c>
      <c r="M94" s="135">
        <f>'ADU-83'!$B$24</f>
        <v>22.187609551322161</v>
      </c>
      <c r="N94" s="135">
        <f>'ADU-83'!$B$20/1000</f>
        <v>17.169599999999999</v>
      </c>
      <c r="O94" s="136"/>
      <c r="P94" s="137" t="str">
        <f>'ADU-83'!$B$5</f>
        <v>Terminé</v>
      </c>
      <c r="Q94" s="140">
        <f>'ADU-83'!$B$16</f>
        <v>2017</v>
      </c>
      <c r="R94" s="283">
        <f>IF(P94="terminé", N94,"")</f>
        <v>17.169599999999999</v>
      </c>
      <c r="S94" s="138">
        <f>IF((P94="Terminé")*AND(E94="Territoire"),N94,0)</f>
        <v>0</v>
      </c>
      <c r="T94" s="138">
        <f>IF((P94="Terminé")*AND(E94="Agriculture"),N94,0)</f>
        <v>0</v>
      </c>
      <c r="U94" s="138">
        <f>IF((P94="Terminé")*AND(E94="Industrie"), N94,0)</f>
        <v>0</v>
      </c>
      <c r="V94" s="138">
        <f>IF((P94="Terminé")*AND(E94="Logement"),N94,0)</f>
        <v>17.169599999999999</v>
      </c>
      <c r="W94" s="138">
        <f>IF((P94="Terminé")*AND(E94="Tertiaire"),N94,0)</f>
        <v>0</v>
      </c>
      <c r="X94" s="138">
        <f>IF((P94="Terminé")*AND(E94="Transport"),N94,0)</f>
        <v>0</v>
      </c>
      <c r="Y94" s="138">
        <f>IF((P94="Terminé")*AND(E94="Communal"),N94,0)</f>
        <v>0</v>
      </c>
    </row>
    <row r="95" spans="1:25" s="139" customFormat="1" x14ac:dyDescent="0.25">
      <c r="A95" s="369" t="s">
        <v>795</v>
      </c>
      <c r="B95" s="414" t="str">
        <f>'ADU-90'!B$3:E$3</f>
        <v>ER Electricité</v>
      </c>
      <c r="C95" s="419" t="str">
        <f>'ADU-90'!$B$8</f>
        <v>Agriculteurs</v>
      </c>
      <c r="D95" s="133" t="str">
        <f>'ADU-90'!$B$9</f>
        <v xml:space="preserve">Micro biogaz </v>
      </c>
      <c r="E95" s="133" t="str">
        <f>'ADU-90'!$B$4</f>
        <v>Agriculture</v>
      </c>
      <c r="F95" s="133" t="str">
        <f>'ADU-90'!$B$12</f>
        <v>Agriculture</v>
      </c>
      <c r="G95" s="133" t="str">
        <f>'ADU-90'!$B$6</f>
        <v>1/3 invest</v>
      </c>
      <c r="H95" s="134">
        <f>'ADU-90'!$B$17</f>
        <v>120000</v>
      </c>
      <c r="I95" s="133" t="str">
        <f>'ADU-90'!$B$7</f>
        <v>Subs RW</v>
      </c>
      <c r="J95" s="134">
        <f>'ADU-90'!$B$18</f>
        <v>36000</v>
      </c>
      <c r="K95" s="134">
        <f>'ADU-90'!$B$21</f>
        <v>0</v>
      </c>
      <c r="L95" s="134">
        <f>'ADU-90'!$B$22</f>
        <v>8365.5000000000018</v>
      </c>
      <c r="M95" s="135">
        <f>'ADU-90'!$B$24</f>
        <v>10.041240810471578</v>
      </c>
      <c r="N95" s="135">
        <f>'ADU-90'!$B$20/1000</f>
        <v>128.70000000000002</v>
      </c>
      <c r="O95" s="136"/>
      <c r="P95" s="137" t="str">
        <f>'ADU-90'!$B$5</f>
        <v>A faire</v>
      </c>
      <c r="Q95" s="140">
        <f>'ADU-90'!$B$16</f>
        <v>2030</v>
      </c>
      <c r="R95" s="283" t="str">
        <f t="shared" si="112"/>
        <v/>
      </c>
      <c r="S95" s="138">
        <f t="shared" si="113"/>
        <v>0</v>
      </c>
      <c r="T95" s="138">
        <f t="shared" si="114"/>
        <v>0</v>
      </c>
      <c r="U95" s="138">
        <f t="shared" si="115"/>
        <v>0</v>
      </c>
      <c r="V95" s="138">
        <f t="shared" si="116"/>
        <v>0</v>
      </c>
      <c r="W95" s="138">
        <f t="shared" si="117"/>
        <v>0</v>
      </c>
      <c r="X95" s="138">
        <f t="shared" si="118"/>
        <v>0</v>
      </c>
      <c r="Y95" s="138">
        <f t="shared" si="119"/>
        <v>0</v>
      </c>
    </row>
    <row r="96" spans="1:25" s="139" customFormat="1" x14ac:dyDescent="0.25">
      <c r="A96" s="369" t="s">
        <v>794</v>
      </c>
      <c r="B96" s="414" t="str">
        <f>'ADU-91'!B$3:E$3</f>
        <v>ER Electricité</v>
      </c>
      <c r="C96" s="419" t="str">
        <f>'ADU-91'!$B$8</f>
        <v>Exploitations agricoles</v>
      </c>
      <c r="D96" s="133" t="str">
        <f>'ADU-91'!$B$9</f>
        <v xml:space="preserve"> Centrale biogaz  - bétail</v>
      </c>
      <c r="E96" s="133" t="str">
        <f>'ADU-91'!$B$4</f>
        <v>Agriculture</v>
      </c>
      <c r="F96" s="133" t="str">
        <f>'ADU-91'!$B$12</f>
        <v>Agriculture</v>
      </c>
      <c r="G96" s="133" t="str">
        <f>'ADU-91'!$B$6</f>
        <v>Montage</v>
      </c>
      <c r="H96" s="134">
        <f>'ADU-91'!$B$17</f>
        <v>1042000</v>
      </c>
      <c r="I96" s="133" t="str">
        <f>'ADU-91'!$B$7</f>
        <v>Subs EU</v>
      </c>
      <c r="J96" s="134">
        <f>'ADU-91'!$B$18</f>
        <v>521000</v>
      </c>
      <c r="K96" s="134">
        <f>'ADU-91'!$B$21</f>
        <v>47723</v>
      </c>
      <c r="L96" s="134">
        <f>'ADU-91'!$B$22</f>
        <v>28899.000000000004</v>
      </c>
      <c r="M96" s="135">
        <f>'ADU-91'!$B$24</f>
        <v>6.7996136879747331</v>
      </c>
      <c r="N96" s="135">
        <f>'ADU-91'!$B$20/1000</f>
        <v>872.3</v>
      </c>
      <c r="O96" s="136"/>
      <c r="P96" s="137" t="str">
        <f>'ADU-91'!$B$5</f>
        <v>A investiguer</v>
      </c>
      <c r="Q96" s="140">
        <f>'ADU-91'!$B$16</f>
        <v>2030</v>
      </c>
      <c r="R96" s="283" t="str">
        <f t="shared" si="112"/>
        <v/>
      </c>
      <c r="S96" s="138">
        <f t="shared" si="113"/>
        <v>0</v>
      </c>
      <c r="T96" s="138">
        <f t="shared" si="114"/>
        <v>0</v>
      </c>
      <c r="U96" s="138">
        <f t="shared" si="115"/>
        <v>0</v>
      </c>
      <c r="V96" s="138">
        <f t="shared" si="116"/>
        <v>0</v>
      </c>
      <c r="W96" s="138">
        <f t="shared" si="117"/>
        <v>0</v>
      </c>
      <c r="X96" s="138">
        <f t="shared" si="118"/>
        <v>0</v>
      </c>
      <c r="Y96" s="138">
        <f t="shared" si="119"/>
        <v>0</v>
      </c>
    </row>
    <row r="97" spans="1:25" s="139" customFormat="1" x14ac:dyDescent="0.25">
      <c r="A97" s="369" t="s">
        <v>793</v>
      </c>
      <c r="B97" s="414" t="str">
        <f>'ADU-92'!B$3:E$3</f>
        <v>ER Electricité</v>
      </c>
      <c r="C97" s="419" t="str">
        <f>'ADU-92'!$B$8</f>
        <v>Exploitations agricoles</v>
      </c>
      <c r="D97" s="133" t="str">
        <f>'ADU-92'!$B$9</f>
        <v>Centrale biogaz - cultures dédiées</v>
      </c>
      <c r="E97" s="133" t="str">
        <f>'ADU-92'!$B$4</f>
        <v>Agriculture</v>
      </c>
      <c r="F97" s="133" t="str">
        <f>'ADU-92'!$B$12</f>
        <v>Agriculture</v>
      </c>
      <c r="G97" s="133" t="str">
        <f>'ADU-92'!$B$6</f>
        <v>Montage</v>
      </c>
      <c r="H97" s="134">
        <f>'ADU-92'!$B$17</f>
        <v>2084000</v>
      </c>
      <c r="I97" s="133" t="str">
        <f>'ADU-92'!$B$7</f>
        <v>Subs EU</v>
      </c>
      <c r="J97" s="134">
        <f>'ADU-92'!$B$18</f>
        <v>625200</v>
      </c>
      <c r="K97" s="134">
        <f>'ADU-92'!$B$21</f>
        <v>196214.95</v>
      </c>
      <c r="L97" s="134">
        <f>'ADU-92'!$B$22</f>
        <v>118819.35</v>
      </c>
      <c r="M97" s="135">
        <f>'ADU-92'!$B$24</f>
        <v>4.6306068894720349</v>
      </c>
      <c r="N97" s="135">
        <f>'ADU-92'!$B$20/1000</f>
        <v>3586.4950000000003</v>
      </c>
      <c r="O97" s="136"/>
      <c r="P97" s="137" t="str">
        <f>'ADU-92'!$B$5</f>
        <v>A investiguer</v>
      </c>
      <c r="Q97" s="140">
        <f>'ADU-92'!$B$16</f>
        <v>2030</v>
      </c>
      <c r="R97" s="283" t="str">
        <f t="shared" si="112"/>
        <v/>
      </c>
      <c r="S97" s="138">
        <f t="shared" si="113"/>
        <v>0</v>
      </c>
      <c r="T97" s="138">
        <f t="shared" si="114"/>
        <v>0</v>
      </c>
      <c r="U97" s="138">
        <f t="shared" si="115"/>
        <v>0</v>
      </c>
      <c r="V97" s="138">
        <f t="shared" si="116"/>
        <v>0</v>
      </c>
      <c r="W97" s="138">
        <f t="shared" si="117"/>
        <v>0</v>
      </c>
      <c r="X97" s="138">
        <f t="shared" si="118"/>
        <v>0</v>
      </c>
      <c r="Y97" s="138">
        <f t="shared" si="119"/>
        <v>0</v>
      </c>
    </row>
    <row r="98" spans="1:25" s="139" customFormat="1" x14ac:dyDescent="0.25">
      <c r="A98" s="369" t="s">
        <v>902</v>
      </c>
      <c r="B98" s="414" t="str">
        <f>'ADU-93'!B$3:E$3</f>
        <v>ER Electricité</v>
      </c>
      <c r="C98" s="419" t="str">
        <f>'ADU-93'!$B$8</f>
        <v xml:space="preserve">Déchets </v>
      </c>
      <c r="D98" s="133" t="str">
        <f>'ADU-93'!$B$9</f>
        <v>Part biogaz IDELUX</v>
      </c>
      <c r="E98" s="133" t="str">
        <f>'ADU-93'!$B$4</f>
        <v>Territoire</v>
      </c>
      <c r="F98" s="133" t="str">
        <f>'ADU-93'!$B$12</f>
        <v>IDELUX</v>
      </c>
      <c r="G98" s="133" t="str">
        <f>'ADU-93'!$B$6</f>
        <v>Montage</v>
      </c>
      <c r="H98" s="134">
        <f>'ADU-93'!$B$17</f>
        <v>0</v>
      </c>
      <c r="I98" s="133" t="str">
        <f>'ADU-93'!$B$7</f>
        <v>Subs EU</v>
      </c>
      <c r="J98" s="134">
        <f>'ADU-93'!$B$18</f>
        <v>0</v>
      </c>
      <c r="K98" s="134">
        <f>'ADU-93'!$B$21</f>
        <v>66485.759999999995</v>
      </c>
      <c r="L98" s="134">
        <f>'ADU-93'!$B$22</f>
        <v>18006.560000000001</v>
      </c>
      <c r="M98" s="135">
        <f>'ADU-93'!$B$24</f>
        <v>0</v>
      </c>
      <c r="N98" s="135">
        <f>'ADU-93'!$B$20/1000</f>
        <v>1098.211</v>
      </c>
      <c r="O98" s="136"/>
      <c r="P98" s="137" t="str">
        <f>'ADU-93'!$B$5</f>
        <v>Terminé</v>
      </c>
      <c r="Q98" s="140">
        <f>'ADU-93'!$B$16</f>
        <v>2008</v>
      </c>
      <c r="R98" s="283">
        <f>IF(P98="terminé", N98,"")</f>
        <v>1098.211</v>
      </c>
      <c r="S98" s="138">
        <f>IF((P98="Terminé")*AND(E98="Territoire"),N98,0)</f>
        <v>1098.211</v>
      </c>
      <c r="T98" s="138">
        <f>IF((P98="Terminé")*AND(E98="Agriculture"),N98,0)</f>
        <v>0</v>
      </c>
      <c r="U98" s="138">
        <f>IF((P98="Terminé")*AND(E98="Industrie"), N98,0)</f>
        <v>0</v>
      </c>
      <c r="V98" s="138">
        <f>IF((P98="Terminé")*AND(E98="Logement"),N98,0)</f>
        <v>0</v>
      </c>
      <c r="W98" s="138">
        <f>IF((P98="Terminé")*AND(E98="Tertiaire"),N98,0)</f>
        <v>0</v>
      </c>
      <c r="X98" s="138">
        <f>IF((P98="Terminé")*AND(E98="Transport"),N98,0)</f>
        <v>0</v>
      </c>
      <c r="Y98" s="138">
        <f>IF((P98="Terminé")*AND(E98="Communal"),N98,0)</f>
        <v>0</v>
      </c>
    </row>
    <row r="99" spans="1:25" s="139" customFormat="1" x14ac:dyDescent="0.25">
      <c r="A99" s="369" t="s">
        <v>903</v>
      </c>
      <c r="B99" s="502" t="str">
        <f>'ADU-94'!B$3:E$3</f>
        <v>ER Electricité</v>
      </c>
      <c r="C99" s="419" t="str">
        <f>'ADU-94'!$B$8</f>
        <v>Cogénération</v>
      </c>
      <c r="D99" s="133" t="str">
        <f>'ADU-94'!$B$9</f>
        <v>Cogénération CORA</v>
      </c>
      <c r="E99" s="133" t="str">
        <f>'ADU-94'!$B$4</f>
        <v>Tertiaire</v>
      </c>
      <c r="F99" s="133" t="str">
        <f>'ADU-94'!$B$12</f>
        <v>Tertiaire</v>
      </c>
      <c r="G99" s="133" t="str">
        <f>'ADU-94'!$B$6</f>
        <v>1/3 invest</v>
      </c>
      <c r="H99" s="134">
        <f>'ADU-94'!$B$17</f>
        <v>300000</v>
      </c>
      <c r="I99" s="133" t="str">
        <f>'ADU-94'!$B$7</f>
        <v>Subs RW</v>
      </c>
      <c r="J99" s="134">
        <f>'ADU-94'!$B$18</f>
        <v>90000</v>
      </c>
      <c r="K99" s="134">
        <f>'ADU-94'!$B$21</f>
        <v>235928.69999999998</v>
      </c>
      <c r="L99" s="134">
        <f>'ADU-94'!$B$22</f>
        <v>0</v>
      </c>
      <c r="M99" s="135">
        <f>'ADU-94'!$B$24</f>
        <v>0.89009942410567267</v>
      </c>
      <c r="N99" s="135">
        <f>'ADU-94'!$B$20/1000</f>
        <v>0</v>
      </c>
      <c r="O99" s="136"/>
      <c r="P99" s="137" t="str">
        <f>'ADU-94'!$B$5</f>
        <v>Terminé</v>
      </c>
      <c r="Q99" s="140">
        <f>'ADU-94'!$B$16</f>
        <v>2017</v>
      </c>
      <c r="R99" s="283">
        <f t="shared" ref="R99:R100" si="120">IF(P99="terminé", N99,"")</f>
        <v>0</v>
      </c>
      <c r="S99" s="138">
        <f t="shared" ref="S99:S100" si="121">IF((P99="Terminé")*AND(E99="Territoire"),N99,0)</f>
        <v>0</v>
      </c>
      <c r="T99" s="138">
        <f t="shared" ref="T99:T100" si="122">IF((P99="Terminé")*AND(E99="Agriculture"),N99,0)</f>
        <v>0</v>
      </c>
      <c r="U99" s="138">
        <f t="shared" ref="U99:U100" si="123">IF((P99="Terminé")*AND(E99="Industrie"), N99,0)</f>
        <v>0</v>
      </c>
      <c r="V99" s="138">
        <f t="shared" ref="V99:V100" si="124">IF((P99="Terminé")*AND(E99="Logement"),N99,0)</f>
        <v>0</v>
      </c>
      <c r="W99" s="138">
        <f t="shared" ref="W99:W100" si="125">IF((P99="Terminé")*AND(E99="Tertiaire"),N99,0)</f>
        <v>0</v>
      </c>
      <c r="X99" s="138">
        <f t="shared" ref="X99:X100" si="126">IF((P99="Terminé")*AND(E99="Transport"),N99,0)</f>
        <v>0</v>
      </c>
      <c r="Y99" s="138">
        <f t="shared" ref="Y99:Y100" si="127">IF((P99="Terminé")*AND(E99="Communal"),N99,0)</f>
        <v>0</v>
      </c>
    </row>
    <row r="100" spans="1:25" s="139" customFormat="1" x14ac:dyDescent="0.25">
      <c r="A100" s="369" t="s">
        <v>904</v>
      </c>
      <c r="B100" s="502" t="str">
        <f>'ADU-95'!B$3:E$3</f>
        <v>ER Electricité</v>
      </c>
      <c r="C100" s="419">
        <f>'ADU-95'!$B$8</f>
        <v>0</v>
      </c>
      <c r="D100" s="133">
        <f>'ADU-95'!$B$9</f>
        <v>0</v>
      </c>
      <c r="E100" s="133" t="str">
        <f>'ADU-95'!$B$4</f>
        <v>Territoire</v>
      </c>
      <c r="F100" s="133">
        <f>'ADU-95'!$B$12</f>
        <v>0</v>
      </c>
      <c r="G100" s="133" t="str">
        <f>'ADU-95'!$B$6</f>
        <v>Néant</v>
      </c>
      <c r="H100" s="134">
        <f>'ADU-95'!$B$17</f>
        <v>0</v>
      </c>
      <c r="I100" s="133" t="str">
        <f>'ADU-95'!$B$7</f>
        <v>Néant</v>
      </c>
      <c r="J100" s="134">
        <f>'ADU-95'!$B$18</f>
        <v>0</v>
      </c>
      <c r="K100" s="134">
        <f>'ADU-95'!$B$21</f>
        <v>0</v>
      </c>
      <c r="L100" s="134">
        <f>'ADU-95'!$B$22</f>
        <v>0</v>
      </c>
      <c r="M100" s="135" t="e">
        <f>'ADU-95'!$B$24</f>
        <v>#DIV/0!</v>
      </c>
      <c r="N100" s="135">
        <f>'ADU-95'!$B$20/1000</f>
        <v>0</v>
      </c>
      <c r="O100" s="136"/>
      <c r="P100" s="137" t="str">
        <f>'ADU-95'!$B$5</f>
        <v>Ne pas réaliser</v>
      </c>
      <c r="Q100" s="140">
        <f>'ADU-95'!$B$16</f>
        <v>0</v>
      </c>
      <c r="R100" s="283" t="str">
        <f t="shared" si="120"/>
        <v/>
      </c>
      <c r="S100" s="138">
        <f t="shared" si="121"/>
        <v>0</v>
      </c>
      <c r="T100" s="138">
        <f t="shared" si="122"/>
        <v>0</v>
      </c>
      <c r="U100" s="138">
        <f t="shared" si="123"/>
        <v>0</v>
      </c>
      <c r="V100" s="138">
        <f t="shared" si="124"/>
        <v>0</v>
      </c>
      <c r="W100" s="138">
        <f t="shared" si="125"/>
        <v>0</v>
      </c>
      <c r="X100" s="138">
        <f t="shared" si="126"/>
        <v>0</v>
      </c>
      <c r="Y100" s="138">
        <f t="shared" si="127"/>
        <v>0</v>
      </c>
    </row>
    <row r="101" spans="1:25" s="139" customFormat="1" x14ac:dyDescent="0.25">
      <c r="A101" s="369" t="s">
        <v>792</v>
      </c>
      <c r="B101" s="414" t="str">
        <f>'ADU-100'!B$3:E$3</f>
        <v>ER Chaleur</v>
      </c>
      <c r="C101" s="419" t="str">
        <f>'ADU-100'!$B$8</f>
        <v>Solaire thermique</v>
      </c>
      <c r="D101" s="133" t="str">
        <f>'ADU-100'!$B$9</f>
        <v>Installation solaires thermiques existantes</v>
      </c>
      <c r="E101" s="133" t="str">
        <f>'ADU-100'!$B$4</f>
        <v>Logement</v>
      </c>
      <c r="F101" s="133" t="str">
        <f>'ADU-100'!$B$12</f>
        <v>Citoyen</v>
      </c>
      <c r="G101" s="133" t="str">
        <f>'ADU-100'!$B$6</f>
        <v>Fonds propres</v>
      </c>
      <c r="H101" s="134">
        <f>'ADU-100'!$B$17</f>
        <v>90000</v>
      </c>
      <c r="I101" s="133" t="str">
        <f>'ADU-100'!$B$7</f>
        <v>Primes RW</v>
      </c>
      <c r="J101" s="134">
        <f>'ADU-100'!$B$18</f>
        <v>20000</v>
      </c>
      <c r="K101" s="134">
        <f>'ADU-100'!$B$21</f>
        <v>225</v>
      </c>
      <c r="L101" s="134">
        <f>'ADU-100'!$B$22</f>
        <v>0</v>
      </c>
      <c r="M101" s="135">
        <f>'ADU-100'!$B$24</f>
        <v>311.11111111111109</v>
      </c>
      <c r="N101" s="135">
        <f>'ADU-100'!$B$20/1000</f>
        <v>52.44</v>
      </c>
      <c r="O101" s="136"/>
      <c r="P101" s="137" t="str">
        <f>'ADU-100'!$B$5</f>
        <v>Terminé</v>
      </c>
      <c r="Q101" s="140">
        <f>'ADU-100'!$B$16</f>
        <v>2014</v>
      </c>
      <c r="R101" s="283">
        <f t="shared" si="112"/>
        <v>52.44</v>
      </c>
      <c r="S101" s="138">
        <f t="shared" si="113"/>
        <v>0</v>
      </c>
      <c r="T101" s="138">
        <f t="shared" si="114"/>
        <v>0</v>
      </c>
      <c r="U101" s="138">
        <f t="shared" si="115"/>
        <v>0</v>
      </c>
      <c r="V101" s="138">
        <f t="shared" si="116"/>
        <v>52.44</v>
      </c>
      <c r="W101" s="138">
        <f t="shared" si="117"/>
        <v>0</v>
      </c>
      <c r="X101" s="138">
        <f t="shared" si="118"/>
        <v>0</v>
      </c>
      <c r="Y101" s="138">
        <f t="shared" si="119"/>
        <v>0</v>
      </c>
    </row>
    <row r="102" spans="1:25" s="139" customFormat="1" x14ac:dyDescent="0.25">
      <c r="A102" s="369" t="s">
        <v>791</v>
      </c>
      <c r="B102" s="414" t="str">
        <f>'ADU-101'!B$3:E$3</f>
        <v>ER Chaleur</v>
      </c>
      <c r="C102" s="419" t="str">
        <f>'ADU-101'!$B$8</f>
        <v>Solaire thermique</v>
      </c>
      <c r="D102" s="133" t="str">
        <f>'ADU-101'!$B$9</f>
        <v xml:space="preserve">Installation solaires thermiques </v>
      </c>
      <c r="E102" s="133" t="str">
        <f>'ADU-101'!$B$4</f>
        <v>Logement</v>
      </c>
      <c r="F102" s="133" t="str">
        <f>'ADU-101'!$B$12</f>
        <v>Citoyen</v>
      </c>
      <c r="G102" s="133" t="str">
        <f>'ADU-101'!$B$6</f>
        <v>ECOPÄCK</v>
      </c>
      <c r="H102" s="134">
        <f>'ADU-101'!$B$17</f>
        <v>720000</v>
      </c>
      <c r="I102" s="133" t="str">
        <f>'ADU-101'!$B$7</f>
        <v>Primes RW</v>
      </c>
      <c r="J102" s="134">
        <f>'ADU-101'!$B$18</f>
        <v>400000</v>
      </c>
      <c r="K102" s="134">
        <f>'ADU-101'!$B$21</f>
        <v>20160</v>
      </c>
      <c r="L102" s="134">
        <f>'ADU-101'!$B$22</f>
        <v>0</v>
      </c>
      <c r="M102" s="135">
        <f>'ADU-101'!$B$24</f>
        <v>15.873015873015873</v>
      </c>
      <c r="N102" s="135">
        <f>'ADU-101'!$B$20/1000</f>
        <v>288</v>
      </c>
      <c r="O102" s="136"/>
      <c r="P102" s="137" t="str">
        <f>'ADU-101'!$B$5</f>
        <v>A faire</v>
      </c>
      <c r="Q102" s="140">
        <f>'ADU-101'!$B$16</f>
        <v>2030</v>
      </c>
      <c r="R102" s="283" t="str">
        <f t="shared" si="112"/>
        <v/>
      </c>
      <c r="S102" s="138">
        <f t="shared" si="113"/>
        <v>0</v>
      </c>
      <c r="T102" s="138">
        <f t="shared" si="114"/>
        <v>0</v>
      </c>
      <c r="U102" s="138">
        <f t="shared" si="115"/>
        <v>0</v>
      </c>
      <c r="V102" s="138">
        <f t="shared" si="116"/>
        <v>0</v>
      </c>
      <c r="W102" s="138">
        <f t="shared" si="117"/>
        <v>0</v>
      </c>
      <c r="X102" s="138">
        <f t="shared" si="118"/>
        <v>0</v>
      </c>
      <c r="Y102" s="138">
        <f t="shared" si="119"/>
        <v>0</v>
      </c>
    </row>
    <row r="103" spans="1:25" s="139" customFormat="1" x14ac:dyDescent="0.25">
      <c r="A103" s="369" t="s">
        <v>790</v>
      </c>
      <c r="B103" s="414" t="str">
        <f>'ADU-102'!B$3:E$3</f>
        <v>ER Chaleur</v>
      </c>
      <c r="C103" s="419" t="str">
        <f>'ADU-102'!$B$8</f>
        <v>Bâtiments communaux et privés</v>
      </c>
      <c r="D103" s="133">
        <f>'ADU-102'!$B$9</f>
        <v>0</v>
      </c>
      <c r="E103" s="133" t="str">
        <f>'ADU-102'!$B$4</f>
        <v>Territoire</v>
      </c>
      <c r="F103" s="133" t="str">
        <f>'ADU-102'!$B$12</f>
        <v>AC MESSANCY</v>
      </c>
      <c r="G103" s="133" t="str">
        <f>'ADU-102'!$B$6</f>
        <v>Néant</v>
      </c>
      <c r="H103" s="134">
        <f>'ADU-102'!$B$17</f>
        <v>0</v>
      </c>
      <c r="I103" s="133" t="str">
        <f>'ADU-102'!$B$7</f>
        <v>Néant</v>
      </c>
      <c r="J103" s="134">
        <f>'ADU-102'!$B$18</f>
        <v>0</v>
      </c>
      <c r="K103" s="134">
        <f>'ADU-102'!$B$21</f>
        <v>0</v>
      </c>
      <c r="L103" s="134">
        <f>'ADU-102'!$B$22</f>
        <v>0</v>
      </c>
      <c r="M103" s="135" t="e">
        <f>'ADU-102'!$B$24</f>
        <v>#DIV/0!</v>
      </c>
      <c r="N103" s="135">
        <f>'ADU-102'!$B$20/1000</f>
        <v>0</v>
      </c>
      <c r="O103" s="136"/>
      <c r="P103" s="137" t="str">
        <f>'ADU-102'!$B$5</f>
        <v>Ne pas réaliser</v>
      </c>
      <c r="Q103" s="140">
        <f>'ADU-102'!$B$16</f>
        <v>0</v>
      </c>
      <c r="R103" s="283" t="str">
        <f t="shared" si="112"/>
        <v/>
      </c>
      <c r="S103" s="138">
        <f t="shared" si="113"/>
        <v>0</v>
      </c>
      <c r="T103" s="138">
        <f t="shared" si="114"/>
        <v>0</v>
      </c>
      <c r="U103" s="138">
        <f t="shared" si="115"/>
        <v>0</v>
      </c>
      <c r="V103" s="138">
        <f t="shared" si="116"/>
        <v>0</v>
      </c>
      <c r="W103" s="138">
        <f t="shared" si="117"/>
        <v>0</v>
      </c>
      <c r="X103" s="138">
        <f t="shared" si="118"/>
        <v>0</v>
      </c>
      <c r="Y103" s="138">
        <f t="shared" si="119"/>
        <v>0</v>
      </c>
    </row>
    <row r="104" spans="1:25" s="139" customFormat="1" x14ac:dyDescent="0.25">
      <c r="A104" s="369" t="s">
        <v>849</v>
      </c>
      <c r="B104" s="481" t="str">
        <f>'ADU-103'!B$3:E$3</f>
        <v>ER Chaleur</v>
      </c>
      <c r="C104" s="419" t="str">
        <f>'ADU-103'!$B$8</f>
        <v>Vecteur énergétique</v>
      </c>
      <c r="D104" s="133" t="str">
        <f>'ADU-103'!$B$9</f>
        <v>Chauffage biomasse</v>
      </c>
      <c r="E104" s="133" t="str">
        <f>'ADU-103'!$B$4</f>
        <v>Industrie</v>
      </c>
      <c r="F104" s="133" t="str">
        <f>'ADU-103'!$B$12</f>
        <v>Industrie</v>
      </c>
      <c r="G104" s="133" t="str">
        <f>'ADU-103'!$B$6</f>
        <v>Néant</v>
      </c>
      <c r="H104" s="134">
        <f>'ADU-103'!$B$17</f>
        <v>0</v>
      </c>
      <c r="I104" s="133" t="str">
        <f>'ADU-103'!$B$7</f>
        <v>Néant</v>
      </c>
      <c r="J104" s="134">
        <f>'ADU-103'!$B$18</f>
        <v>0</v>
      </c>
      <c r="K104" s="134">
        <f>'ADU-103'!$B$21</f>
        <v>0</v>
      </c>
      <c r="L104" s="134">
        <f>'ADU-103'!$B$22</f>
        <v>0</v>
      </c>
      <c r="M104" s="135" t="e">
        <f>'ADU-103'!$B$24</f>
        <v>#DIV/0!</v>
      </c>
      <c r="N104" s="135">
        <f>'ADU-103'!$B$20/1000</f>
        <v>0</v>
      </c>
      <c r="O104" s="136"/>
      <c r="P104" s="137" t="str">
        <f>'ADU-103'!$B$5</f>
        <v>Ne pas réaliser</v>
      </c>
      <c r="Q104" s="140">
        <f>'ADU-103'!$B$16</f>
        <v>0</v>
      </c>
      <c r="R104" s="283" t="str">
        <f>IF(P104="terminé", N104,"")</f>
        <v/>
      </c>
      <c r="S104" s="138">
        <f>IF((P104="Terminé")*AND(E104="Territoire"),N104,0)</f>
        <v>0</v>
      </c>
      <c r="T104" s="138">
        <f>IF((P104="Terminé")*AND(E104="Agriculture"),N104,0)</f>
        <v>0</v>
      </c>
      <c r="U104" s="138">
        <f>IF((P104="Terminé")*AND(E104="Industrie"), N104,0)</f>
        <v>0</v>
      </c>
      <c r="V104" s="138">
        <f>IF((P104="Terminé")*AND(E104="Logement"),N104,0)</f>
        <v>0</v>
      </c>
      <c r="W104" s="138">
        <f>IF((P104="Terminé")*AND(E104="Tertiaire"),N104,0)</f>
        <v>0</v>
      </c>
      <c r="X104" s="138">
        <f>IF((P104="Terminé")*AND(E104="Transport"),N104,0)</f>
        <v>0</v>
      </c>
      <c r="Y104" s="138">
        <f>IF((P104="Terminé")*AND(E104="Communal"),N104,0)</f>
        <v>0</v>
      </c>
    </row>
    <row r="105" spans="1:25" s="139" customFormat="1" x14ac:dyDescent="0.25">
      <c r="A105" s="369" t="s">
        <v>789</v>
      </c>
      <c r="B105" s="414" t="str">
        <f>'ADU-121'!B$3:E$3</f>
        <v>Agroforesterie/déchets</v>
      </c>
      <c r="C105" s="419" t="str">
        <f>'ADU-121'!$B$8</f>
        <v>Réseau de haies</v>
      </c>
      <c r="D105" s="133" t="str">
        <f>'ADU-121'!$B$9</f>
        <v>Réintroduction de haies vives</v>
      </c>
      <c r="E105" s="133" t="str">
        <f>'ADU-121'!$B$4</f>
        <v>Communal</v>
      </c>
      <c r="F105" s="133" t="str">
        <f>'ADU-121'!$B$12</f>
        <v>AC MESSANCY</v>
      </c>
      <c r="G105" s="133" t="str">
        <f>'ADU-121'!$B$6</f>
        <v>Fonds propres</v>
      </c>
      <c r="H105" s="134">
        <f>'ADU-121'!$B$17</f>
        <v>120000</v>
      </c>
      <c r="I105" s="133" t="str">
        <f>'ADU-121'!$B$7</f>
        <v>Subs RW</v>
      </c>
      <c r="J105" s="134">
        <f>'ADU-121'!$B$18</f>
        <v>84000</v>
      </c>
      <c r="K105" s="134">
        <f>'ADU-121'!$B$21</f>
        <v>1</v>
      </c>
      <c r="L105" s="134">
        <f>'ADU-121'!$B$22</f>
        <v>0</v>
      </c>
      <c r="M105" s="135">
        <f>'ADU-121'!$B$24</f>
        <v>36000</v>
      </c>
      <c r="N105" s="135">
        <f>'ADU-121'!$B$20/1000</f>
        <v>16</v>
      </c>
      <c r="O105" s="136">
        <f>IF(H105=0,0,N105/(H105-J105)*1000)</f>
        <v>0.44444444444444448</v>
      </c>
      <c r="P105" s="137" t="str">
        <f>'ADU-121'!$B$5</f>
        <v>Terminé</v>
      </c>
      <c r="Q105" s="140">
        <f>'ADU-121'!$B$16</f>
        <v>2030</v>
      </c>
      <c r="R105" s="283">
        <f t="shared" ref="R105:R110" si="128">IF(P105="terminé", N105,"")</f>
        <v>16</v>
      </c>
      <c r="S105" s="138">
        <f t="shared" ref="S105:S110" si="129">IF((P105="Terminé")*AND(E105="Territoire"),N105,0)</f>
        <v>0</v>
      </c>
      <c r="T105" s="138">
        <f t="shared" ref="T105:T110" si="130">IF((P105="Terminé")*AND(E105="Agriculture"),N105,0)</f>
        <v>0</v>
      </c>
      <c r="U105" s="138">
        <f t="shared" ref="U105:U110" si="131">IF((P105="Terminé")*AND(E105="Industrie"), N105,0)</f>
        <v>0</v>
      </c>
      <c r="V105" s="138">
        <f t="shared" ref="V105:V110" si="132">IF((P105="Terminé")*AND(E105="Logement"),N105,0)</f>
        <v>0</v>
      </c>
      <c r="W105" s="138">
        <f t="shared" ref="W105:W110" si="133">IF((P105="Terminé")*AND(E105="Tertiaire"),N105,0)</f>
        <v>0</v>
      </c>
      <c r="X105" s="138">
        <f t="shared" ref="X105:X110" si="134">IF((P105="Terminé")*AND(E105="Transport"),N105,0)</f>
        <v>0</v>
      </c>
      <c r="Y105" s="138">
        <f t="shared" ref="Y105:Y110" si="135">IF((P105="Terminé")*AND(E105="Communal"),N105,0)</f>
        <v>16</v>
      </c>
    </row>
    <row r="106" spans="1:25" s="139" customFormat="1" x14ac:dyDescent="0.25">
      <c r="A106" s="369" t="s">
        <v>788</v>
      </c>
      <c r="B106" s="414" t="str">
        <f>'ADU-122'!B$3:E$3</f>
        <v>Agroforesterie/déchets</v>
      </c>
      <c r="C106" s="419" t="str">
        <f>'ADU-122'!$B$8</f>
        <v>Séquestration de CO2 par reboisement</v>
      </c>
      <c r="D106" s="133" t="str">
        <f>'ADU-122'!$B$9</f>
        <v>Reboisement d'aires non valorisées</v>
      </c>
      <c r="E106" s="133" t="str">
        <f>'ADU-122'!$B$4</f>
        <v>Territoire</v>
      </c>
      <c r="F106" s="133" t="str">
        <f>'ADU-122'!$B$12</f>
        <v>AC MESSANCY</v>
      </c>
      <c r="G106" s="133" t="str">
        <f>'ADU-122'!$B$6</f>
        <v>Fonds propres</v>
      </c>
      <c r="H106" s="134">
        <f>'ADU-122'!$B$17</f>
        <v>10000</v>
      </c>
      <c r="I106" s="133" t="str">
        <f>'ADU-122'!$B$7</f>
        <v>Subs RW</v>
      </c>
      <c r="J106" s="134">
        <f>'ADU-122'!$B$18</f>
        <v>7000</v>
      </c>
      <c r="K106" s="134">
        <f>'ADU-122'!$B$21</f>
        <v>1</v>
      </c>
      <c r="L106" s="134">
        <f>'ADU-122'!$B$22</f>
        <v>0</v>
      </c>
      <c r="M106" s="135">
        <f>'ADU-122'!$B$24</f>
        <v>3000</v>
      </c>
      <c r="N106" s="135">
        <f>'ADU-122'!$B$20/1000</f>
        <v>0</v>
      </c>
      <c r="O106" s="136">
        <f>IF(H106=0,0,N106/(H106-J106)*1000)</f>
        <v>0</v>
      </c>
      <c r="P106" s="137" t="str">
        <f>'ADU-122'!$B$5</f>
        <v>A investiguer</v>
      </c>
      <c r="Q106" s="140">
        <f>'ADU-122'!$B$16</f>
        <v>2030</v>
      </c>
      <c r="R106" s="284" t="str">
        <f t="shared" si="128"/>
        <v/>
      </c>
      <c r="S106" s="138">
        <f t="shared" si="129"/>
        <v>0</v>
      </c>
      <c r="T106" s="138">
        <f t="shared" si="130"/>
        <v>0</v>
      </c>
      <c r="U106" s="138">
        <f t="shared" si="131"/>
        <v>0</v>
      </c>
      <c r="V106" s="138">
        <f t="shared" si="132"/>
        <v>0</v>
      </c>
      <c r="W106" s="138">
        <f t="shared" si="133"/>
        <v>0</v>
      </c>
      <c r="X106" s="138">
        <f t="shared" si="134"/>
        <v>0</v>
      </c>
      <c r="Y106" s="138">
        <f t="shared" si="135"/>
        <v>0</v>
      </c>
    </row>
    <row r="107" spans="1:25" s="139" customFormat="1" x14ac:dyDescent="0.25">
      <c r="A107" s="369" t="s">
        <v>787</v>
      </c>
      <c r="B107" s="414" t="str">
        <f>'ADU-123'!B$3:E$3</f>
        <v>Agroforesterie/déchets</v>
      </c>
      <c r="C107" s="419" t="str">
        <f>'ADU-123'!$B$8</f>
        <v>Production de combustible biomasse</v>
      </c>
      <c r="D107" s="133" t="str">
        <f>'ADU-123'!$B$9</f>
        <v>Culture de miscanthus</v>
      </c>
      <c r="E107" s="133" t="str">
        <f>'ADU-123'!$B$4</f>
        <v>Agriculture</v>
      </c>
      <c r="F107" s="133" t="str">
        <f>'ADU-123'!$B$12</f>
        <v>Agriculture</v>
      </c>
      <c r="G107" s="133" t="str">
        <f>'ADU-123'!$B$6</f>
        <v>Fonds propres</v>
      </c>
      <c r="H107" s="134">
        <f>'ADU-123'!$B$17</f>
        <v>25000</v>
      </c>
      <c r="I107" s="133" t="str">
        <f>'ADU-123'!$B$7</f>
        <v>Subs RW</v>
      </c>
      <c r="J107" s="134">
        <f>'ADU-123'!$B$18</f>
        <v>17500</v>
      </c>
      <c r="K107" s="134">
        <f>'ADU-123'!$B$21</f>
        <v>42000</v>
      </c>
      <c r="L107" s="134">
        <f>'ADU-123'!$B$22</f>
        <v>0</v>
      </c>
      <c r="M107" s="135">
        <f>'ADU-123'!$B$24</f>
        <v>0.17857142857142858</v>
      </c>
      <c r="N107" s="135">
        <f>'ADU-123'!$B$20/1000</f>
        <v>2000</v>
      </c>
      <c r="O107" s="136">
        <f>IF(H107=0,0,N107/(H107-J107)*1000)</f>
        <v>266.66666666666669</v>
      </c>
      <c r="P107" s="137" t="str">
        <f>'ADU-123'!$B$5</f>
        <v>A investiguer</v>
      </c>
      <c r="Q107" s="140">
        <f>'ADU-123'!$B$16</f>
        <v>2030</v>
      </c>
      <c r="R107" s="283" t="str">
        <f t="shared" si="128"/>
        <v/>
      </c>
      <c r="S107" s="138">
        <f t="shared" si="129"/>
        <v>0</v>
      </c>
      <c r="T107" s="138">
        <f t="shared" si="130"/>
        <v>0</v>
      </c>
      <c r="U107" s="138">
        <f t="shared" si="131"/>
        <v>0</v>
      </c>
      <c r="V107" s="138">
        <f t="shared" si="132"/>
        <v>0</v>
      </c>
      <c r="W107" s="138">
        <f t="shared" si="133"/>
        <v>0</v>
      </c>
      <c r="X107" s="138">
        <f t="shared" si="134"/>
        <v>0</v>
      </c>
      <c r="Y107" s="138">
        <f t="shared" si="135"/>
        <v>0</v>
      </c>
    </row>
    <row r="108" spans="1:25" s="139" customFormat="1" x14ac:dyDescent="0.25">
      <c r="A108" s="369" t="s">
        <v>786</v>
      </c>
      <c r="B108" s="414" t="str">
        <f>'ADU-124'!B$3:E$3</f>
        <v>Agroforesterie/déchets</v>
      </c>
      <c r="C108" s="419" t="str">
        <f>'ADU-124'!$B$8</f>
        <v>Réseau de haies</v>
      </c>
      <c r="D108" s="133" t="str">
        <f>'ADU-124'!$B$9</f>
        <v>Réintroduction de haies vives</v>
      </c>
      <c r="E108" s="133" t="str">
        <f>'ADU-124'!$B$4</f>
        <v>Agriculture</v>
      </c>
      <c r="F108" s="133" t="str">
        <f>'ADU-124'!$B$12</f>
        <v>Agriculture</v>
      </c>
      <c r="G108" s="133" t="str">
        <f>'ADU-124'!$B$6</f>
        <v>Fonds propres</v>
      </c>
      <c r="H108" s="134">
        <f>'ADU-124'!$B$17</f>
        <v>75000</v>
      </c>
      <c r="I108" s="133" t="str">
        <f>'ADU-124'!$B$7</f>
        <v>Subs RW</v>
      </c>
      <c r="J108" s="134">
        <f>'ADU-124'!$B$18</f>
        <v>52500</v>
      </c>
      <c r="K108" s="134">
        <f>'ADU-124'!$B$21</f>
        <v>1</v>
      </c>
      <c r="L108" s="134">
        <f>'ADU-124'!$B$22</f>
        <v>0</v>
      </c>
      <c r="M108" s="135">
        <f>'ADU-124'!$B$24</f>
        <v>22500</v>
      </c>
      <c r="N108" s="135">
        <f>'ADU-124'!$B$20/1000</f>
        <v>10</v>
      </c>
      <c r="O108" s="136">
        <f>IF(H108=0,0,N108/(H108-J108)*1000)</f>
        <v>0.44444444444444448</v>
      </c>
      <c r="P108" s="137" t="str">
        <f>'ADU-124'!$B$5</f>
        <v>A faire</v>
      </c>
      <c r="Q108" s="140">
        <f>'ADU-124'!$B$16</f>
        <v>2030</v>
      </c>
      <c r="R108" s="283" t="str">
        <f t="shared" si="128"/>
        <v/>
      </c>
      <c r="S108" s="138">
        <f t="shared" si="129"/>
        <v>0</v>
      </c>
      <c r="T108" s="138">
        <f t="shared" si="130"/>
        <v>0</v>
      </c>
      <c r="U108" s="138">
        <f t="shared" si="131"/>
        <v>0</v>
      </c>
      <c r="V108" s="138">
        <f t="shared" si="132"/>
        <v>0</v>
      </c>
      <c r="W108" s="138">
        <f t="shared" si="133"/>
        <v>0</v>
      </c>
      <c r="X108" s="138">
        <f t="shared" si="134"/>
        <v>0</v>
      </c>
      <c r="Y108" s="138">
        <f t="shared" si="135"/>
        <v>0</v>
      </c>
    </row>
    <row r="109" spans="1:25" s="139" customFormat="1" x14ac:dyDescent="0.25">
      <c r="A109" s="369" t="s">
        <v>785</v>
      </c>
      <c r="B109" s="414" t="str">
        <f>'ADU-140'!B$3:E$3</f>
        <v>Eclairage public</v>
      </c>
      <c r="C109" s="419" t="str">
        <f>'ADU-140'!$B$8</f>
        <v>Eclairage public</v>
      </c>
      <c r="D109" s="133" t="str">
        <f>'ADU-140'!$B$9</f>
        <v>Plan EPURE</v>
      </c>
      <c r="E109" s="133" t="str">
        <f>'ADU-140'!$B$4</f>
        <v>Territoire</v>
      </c>
      <c r="F109" s="133" t="str">
        <f>'ADU-140'!$B$12</f>
        <v>AC MESSANCY</v>
      </c>
      <c r="G109" s="133" t="str">
        <f>'ADU-140'!$B$6</f>
        <v>1/3 invest</v>
      </c>
      <c r="H109" s="134">
        <f>'ADU-140'!$B$17</f>
        <v>55000</v>
      </c>
      <c r="I109" s="133" t="str">
        <f>'ADU-140'!$B$7</f>
        <v>Néant</v>
      </c>
      <c r="J109" s="134">
        <f>'ADU-140'!$B$18</f>
        <v>0</v>
      </c>
      <c r="K109" s="134">
        <f>'ADU-140'!$B$21</f>
        <v>38783.285999999993</v>
      </c>
      <c r="L109" s="134">
        <f>'ADU-140'!$B$22</f>
        <v>0</v>
      </c>
      <c r="M109" s="135">
        <f>'ADU-140'!$B$24</f>
        <v>1.4181366684607388</v>
      </c>
      <c r="N109" s="135">
        <f>'ADU-140'!$B$20/1000</f>
        <v>0</v>
      </c>
      <c r="O109" s="136"/>
      <c r="P109" s="137" t="str">
        <f>'ADU-140'!$B$5</f>
        <v>A faire</v>
      </c>
      <c r="Q109" s="140">
        <f>'ADU-140'!$B$16</f>
        <v>2025</v>
      </c>
      <c r="R109" s="283" t="str">
        <f t="shared" si="128"/>
        <v/>
      </c>
      <c r="S109" s="138">
        <f t="shared" si="129"/>
        <v>0</v>
      </c>
      <c r="T109" s="138">
        <f t="shared" si="130"/>
        <v>0</v>
      </c>
      <c r="U109" s="138">
        <f t="shared" si="131"/>
        <v>0</v>
      </c>
      <c r="V109" s="138">
        <f t="shared" si="132"/>
        <v>0</v>
      </c>
      <c r="W109" s="138">
        <f t="shared" si="133"/>
        <v>0</v>
      </c>
      <c r="X109" s="138">
        <f t="shared" si="134"/>
        <v>0</v>
      </c>
      <c r="Y109" s="138">
        <f t="shared" si="135"/>
        <v>0</v>
      </c>
    </row>
    <row r="110" spans="1:25" s="139" customFormat="1" x14ac:dyDescent="0.25">
      <c r="A110" s="371" t="s">
        <v>617</v>
      </c>
      <c r="B110" s="414" t="str">
        <f>'ADA-1'!B$3:E$3</f>
        <v>Gestion communale</v>
      </c>
      <c r="C110" s="419" t="str">
        <f>'ADA-1'!$B$8</f>
        <v>Gestion de crises</v>
      </c>
      <c r="D110" s="133" t="str">
        <f>'ADA-8'!$B$9</f>
        <v>Réduction de la pression sur les ressources en eau</v>
      </c>
      <c r="E110" s="133" t="str">
        <f>'ADA-1'!$B$4</f>
        <v>Territoire</v>
      </c>
      <c r="F110" s="133" t="str">
        <f>'ADA-1'!$B$12</f>
        <v>AC MESSANCY</v>
      </c>
      <c r="G110" s="133" t="str">
        <f>'ADA-1'!$B$6</f>
        <v>Néant</v>
      </c>
      <c r="H110" s="134">
        <f>'ADA-1'!$B$17</f>
        <v>0</v>
      </c>
      <c r="I110" s="133" t="str">
        <f>'ADA-1'!$B$7</f>
        <v>Néant</v>
      </c>
      <c r="J110" s="134">
        <f>'ADA-1'!$B$18</f>
        <v>0</v>
      </c>
      <c r="K110" s="134">
        <f>'ADA-1'!$B$21</f>
        <v>1</v>
      </c>
      <c r="L110" s="134">
        <f>'ADA-1'!$B$22</f>
        <v>0</v>
      </c>
      <c r="M110" s="135">
        <f>'ADA-1'!$B$24</f>
        <v>0</v>
      </c>
      <c r="N110" s="135">
        <f>'ADA-1'!$B$20/1000</f>
        <v>0</v>
      </c>
      <c r="O110" s="136">
        <f>IF(H110=0,0,N110/(H110-J110)*1000)</f>
        <v>0</v>
      </c>
      <c r="P110" s="137" t="str">
        <f>'ADA-1'!$B$5</f>
        <v>Terminé</v>
      </c>
      <c r="Q110" s="140">
        <f>'ADA-1'!$B$16</f>
        <v>2012</v>
      </c>
      <c r="R110" s="283">
        <f t="shared" si="128"/>
        <v>0</v>
      </c>
      <c r="S110" s="138">
        <f t="shared" si="129"/>
        <v>0</v>
      </c>
      <c r="T110" s="138">
        <f t="shared" si="130"/>
        <v>0</v>
      </c>
      <c r="U110" s="138">
        <f t="shared" si="131"/>
        <v>0</v>
      </c>
      <c r="V110" s="138">
        <f t="shared" si="132"/>
        <v>0</v>
      </c>
      <c r="W110" s="138">
        <f t="shared" si="133"/>
        <v>0</v>
      </c>
      <c r="X110" s="138">
        <f t="shared" si="134"/>
        <v>0</v>
      </c>
      <c r="Y110" s="138">
        <f t="shared" si="135"/>
        <v>0</v>
      </c>
    </row>
    <row r="111" spans="1:25" s="139" customFormat="1" x14ac:dyDescent="0.25">
      <c r="A111" s="371" t="s">
        <v>618</v>
      </c>
      <c r="B111" s="414" t="str">
        <f>'ADA-2'!B$3:E$3</f>
        <v>Gestion communale</v>
      </c>
      <c r="C111" s="419" t="str">
        <f>'ADA-2'!$B$8</f>
        <v>Agriculteurs</v>
      </c>
      <c r="D111" s="133" t="str">
        <f>'ADA-2'!$B$9</f>
        <v>Concertation avec le monde agricole</v>
      </c>
      <c r="E111" s="133" t="str">
        <f>'ADA-2'!$B$4</f>
        <v>Agriculture</v>
      </c>
      <c r="F111" s="133" t="str">
        <f>'ADA-2'!$B$12</f>
        <v>AC MESSANCY</v>
      </c>
      <c r="G111" s="133" t="str">
        <f>'ADA-2'!$B$6</f>
        <v>Néant</v>
      </c>
      <c r="H111" s="134">
        <f>'ADA-2'!$B$17</f>
        <v>0</v>
      </c>
      <c r="I111" s="133" t="str">
        <f>'ADA-2'!$B$7</f>
        <v>Néant</v>
      </c>
      <c r="J111" s="134">
        <f>'ADA-2'!$B$18</f>
        <v>0</v>
      </c>
      <c r="K111" s="134">
        <f>'ADA-2'!$B$21</f>
        <v>1</v>
      </c>
      <c r="L111" s="134">
        <f>'ADA-2'!$B$22</f>
        <v>0</v>
      </c>
      <c r="M111" s="135">
        <f>'ADA-2'!$B$24</f>
        <v>0</v>
      </c>
      <c r="N111" s="135">
        <f>'ADA-2'!$B$20/1000</f>
        <v>0</v>
      </c>
      <c r="O111" s="136">
        <f t="shared" ref="O111:O125" si="136">IF(H111=0,0,N111/(H111-J111)*1000)</f>
        <v>0</v>
      </c>
      <c r="P111" s="137" t="str">
        <f>'ADA-2'!$B$5</f>
        <v>A faire</v>
      </c>
      <c r="Q111" s="140">
        <f>'ADA-2'!$B$16</f>
        <v>2025</v>
      </c>
      <c r="R111" s="283" t="str">
        <f t="shared" ref="R111:R125" si="137">IF(P111="terminé", N111,"")</f>
        <v/>
      </c>
      <c r="S111" s="138">
        <f t="shared" ref="S111:S125" si="138">IF((P111="Terminé")*AND(E111="Territoire"),N111,0)</f>
        <v>0</v>
      </c>
      <c r="T111" s="138">
        <f t="shared" ref="T111:T125" si="139">IF((P111="Terminé")*AND(E111="Agriculture"),N111,0)</f>
        <v>0</v>
      </c>
      <c r="U111" s="138">
        <f t="shared" ref="U111:U125" si="140">IF((P111="Terminé")*AND(E111="Industrie"), N111,0)</f>
        <v>0</v>
      </c>
      <c r="V111" s="138">
        <f t="shared" ref="V111:V125" si="141">IF((P111="Terminé")*AND(E111="Logement"),N111,0)</f>
        <v>0</v>
      </c>
      <c r="W111" s="138">
        <f t="shared" ref="W111:W125" si="142">IF((P111="Terminé")*AND(E111="Tertiaire"),N111,0)</f>
        <v>0</v>
      </c>
      <c r="X111" s="138">
        <f t="shared" ref="X111:X125" si="143">IF((P111="Terminé")*AND(E111="Transport"),N111,0)</f>
        <v>0</v>
      </c>
      <c r="Y111" s="138">
        <f t="shared" ref="Y111:Y125" si="144">IF((P111="Terminé")*AND(E111="Communal"),N111,0)</f>
        <v>0</v>
      </c>
    </row>
    <row r="112" spans="1:25" s="139" customFormat="1" x14ac:dyDescent="0.25">
      <c r="A112" s="371" t="s">
        <v>619</v>
      </c>
      <c r="B112" s="414" t="str">
        <f>'ADA-3'!B$3:E$3</f>
        <v>Gestion communale</v>
      </c>
      <c r="C112" s="419" t="str">
        <f>'ADA-3'!$B$8</f>
        <v>Bâtiments</v>
      </c>
      <c r="D112" s="133" t="str">
        <f>'ADA-3'!$B$9</f>
        <v>Protection des bâtiments contre les inondations</v>
      </c>
      <c r="E112" s="133" t="str">
        <f>'ADA-3'!$B$4</f>
        <v>Territoire</v>
      </c>
      <c r="F112" s="133" t="str">
        <f>'ADA-3'!$B$12</f>
        <v>AC MESSANCY</v>
      </c>
      <c r="G112" s="133" t="str">
        <f>'ADA-3'!$B$6</f>
        <v>Néant</v>
      </c>
      <c r="H112" s="134">
        <f>'ADA-3'!$B$17</f>
        <v>50000</v>
      </c>
      <c r="I112" s="133" t="str">
        <f>'ADA-3'!$B$7</f>
        <v>Néant</v>
      </c>
      <c r="J112" s="134">
        <f>'ADA-3'!$B$18</f>
        <v>0</v>
      </c>
      <c r="K112" s="134">
        <f>'ADA-3'!$B$21</f>
        <v>1</v>
      </c>
      <c r="L112" s="134">
        <f>'ADA-3'!$B$22</f>
        <v>0</v>
      </c>
      <c r="M112" s="135">
        <f>'ADA-3'!$B$24</f>
        <v>50000</v>
      </c>
      <c r="N112" s="135">
        <f>'ADA-3'!$B$20/1000</f>
        <v>0</v>
      </c>
      <c r="O112" s="136">
        <f t="shared" si="136"/>
        <v>0</v>
      </c>
      <c r="P112" s="137" t="str">
        <f>'ADA-3'!$B$5</f>
        <v>Terminé</v>
      </c>
      <c r="Q112" s="140">
        <f>'ADA-3'!$B$16</f>
        <v>2018</v>
      </c>
      <c r="R112" s="283">
        <f t="shared" si="137"/>
        <v>0</v>
      </c>
      <c r="S112" s="138">
        <f t="shared" si="138"/>
        <v>0</v>
      </c>
      <c r="T112" s="138">
        <f t="shared" si="139"/>
        <v>0</v>
      </c>
      <c r="U112" s="138">
        <f t="shared" si="140"/>
        <v>0</v>
      </c>
      <c r="V112" s="138">
        <f t="shared" si="141"/>
        <v>0</v>
      </c>
      <c r="W112" s="138">
        <f t="shared" si="142"/>
        <v>0</v>
      </c>
      <c r="X112" s="138">
        <f t="shared" si="143"/>
        <v>0</v>
      </c>
      <c r="Y112" s="138">
        <f t="shared" si="144"/>
        <v>0</v>
      </c>
    </row>
    <row r="113" spans="1:82" s="139" customFormat="1" x14ac:dyDescent="0.25">
      <c r="A113" s="371" t="s">
        <v>620</v>
      </c>
      <c r="B113" s="414" t="str">
        <f>'ADA-4'!B$3:E$3</f>
        <v>Gestion communale</v>
      </c>
      <c r="C113" s="419" t="str">
        <f>'ADA-4'!$B$8</f>
        <v>Lieux publics</v>
      </c>
      <c r="D113" s="133" t="str">
        <f>'ADA-4'!$B$9</f>
        <v>Protection des lieux publics contre les inondations</v>
      </c>
      <c r="E113" s="133" t="str">
        <f>'ADA-4'!$B$4</f>
        <v>Territoire</v>
      </c>
      <c r="F113" s="133" t="str">
        <f>'ADA-4'!$B$12</f>
        <v>AC MESSANCY</v>
      </c>
      <c r="G113" s="133" t="str">
        <f>'ADA-4'!$B$6</f>
        <v>Néant</v>
      </c>
      <c r="H113" s="134">
        <f>'ADA-4'!$B$17</f>
        <v>18000</v>
      </c>
      <c r="I113" s="133" t="str">
        <f>'ADA-4'!$B$7</f>
        <v>Néant</v>
      </c>
      <c r="J113" s="134">
        <f>'ADA-4'!$B$18</f>
        <v>0</v>
      </c>
      <c r="K113" s="134">
        <f>'ADA-4'!$B$21</f>
        <v>1</v>
      </c>
      <c r="L113" s="134">
        <f>'ADA-4'!$B$22</f>
        <v>0</v>
      </c>
      <c r="M113" s="135">
        <f>'ADA-4'!$B$24</f>
        <v>18000</v>
      </c>
      <c r="N113" s="135">
        <f>'ADA-4'!$B$20/1000</f>
        <v>0</v>
      </c>
      <c r="O113" s="136">
        <f t="shared" si="136"/>
        <v>0</v>
      </c>
      <c r="P113" s="137" t="str">
        <f>'ADA-4'!$B$5</f>
        <v>Terminé</v>
      </c>
      <c r="Q113" s="140">
        <f>'ADA-4'!$B$16</f>
        <v>2018</v>
      </c>
      <c r="R113" s="283">
        <f t="shared" si="137"/>
        <v>0</v>
      </c>
      <c r="S113" s="138">
        <f t="shared" si="138"/>
        <v>0</v>
      </c>
      <c r="T113" s="138">
        <f t="shared" si="139"/>
        <v>0</v>
      </c>
      <c r="U113" s="138">
        <f t="shared" si="140"/>
        <v>0</v>
      </c>
      <c r="V113" s="138">
        <f t="shared" si="141"/>
        <v>0</v>
      </c>
      <c r="W113" s="138">
        <f t="shared" si="142"/>
        <v>0</v>
      </c>
      <c r="X113" s="138">
        <f t="shared" si="143"/>
        <v>0</v>
      </c>
      <c r="Y113" s="138">
        <f t="shared" si="144"/>
        <v>0</v>
      </c>
    </row>
    <row r="114" spans="1:82" s="139" customFormat="1" x14ac:dyDescent="0.25">
      <c r="A114" s="371" t="s">
        <v>621</v>
      </c>
      <c r="B114" s="414" t="str">
        <f>'ADA-5'!B$3:E$3</f>
        <v>Gestion communale</v>
      </c>
      <c r="C114" s="419" t="str">
        <f>'ADA-5'!$B$8</f>
        <v>Eaux pluviales</v>
      </c>
      <c r="D114" s="133" t="str">
        <f>'ADA-5'!$B$9</f>
        <v>Récupération des eaux pluviales</v>
      </c>
      <c r="E114" s="133" t="str">
        <f>'ADA-5'!$B$4</f>
        <v>Territoire</v>
      </c>
      <c r="F114" s="133" t="str">
        <f>'ADA-5'!$B$12</f>
        <v>IDELUX</v>
      </c>
      <c r="G114" s="133" t="str">
        <f>'ADA-5'!$B$6</f>
        <v>Néant</v>
      </c>
      <c r="H114" s="134">
        <f>'ADA-5'!$B$17</f>
        <v>200000</v>
      </c>
      <c r="I114" s="133" t="str">
        <f>'ADA-5'!$B$7</f>
        <v>Néant</v>
      </c>
      <c r="J114" s="134">
        <f>'ADA-5'!$B$18</f>
        <v>60000</v>
      </c>
      <c r="K114" s="134">
        <f>'ADA-5'!$B$21</f>
        <v>1</v>
      </c>
      <c r="L114" s="134">
        <f>'ADA-5'!$B$22</f>
        <v>0</v>
      </c>
      <c r="M114" s="135">
        <f>'ADA-5'!$B$24</f>
        <v>140000</v>
      </c>
      <c r="N114" s="135">
        <f>'ADA-5'!$B$20/1000</f>
        <v>0</v>
      </c>
      <c r="O114" s="136">
        <f t="shared" si="136"/>
        <v>0</v>
      </c>
      <c r="P114" s="137" t="str">
        <f>'ADA-5'!$B$5</f>
        <v>A faire</v>
      </c>
      <c r="Q114" s="140">
        <f>'ADA-5'!$B$16</f>
        <v>2025</v>
      </c>
      <c r="R114" s="283" t="str">
        <f t="shared" si="137"/>
        <v/>
      </c>
      <c r="S114" s="138">
        <f t="shared" si="138"/>
        <v>0</v>
      </c>
      <c r="T114" s="138">
        <f t="shared" si="139"/>
        <v>0</v>
      </c>
      <c r="U114" s="138">
        <f t="shared" si="140"/>
        <v>0</v>
      </c>
      <c r="V114" s="138">
        <f t="shared" si="141"/>
        <v>0</v>
      </c>
      <c r="W114" s="138">
        <f t="shared" si="142"/>
        <v>0</v>
      </c>
      <c r="X114" s="138">
        <f t="shared" si="143"/>
        <v>0</v>
      </c>
      <c r="Y114" s="138">
        <f t="shared" si="144"/>
        <v>0</v>
      </c>
    </row>
    <row r="115" spans="1:82" s="139" customFormat="1" x14ac:dyDescent="0.25">
      <c r="A115" s="371" t="s">
        <v>622</v>
      </c>
      <c r="B115" s="414" t="str">
        <f>'ADA-6'!B$3:E$3</f>
        <v>Gestion communale</v>
      </c>
      <c r="C115" s="419" t="str">
        <f>'ADA-6'!$B$8</f>
        <v>Eaux pluviales</v>
      </c>
      <c r="D115" s="133" t="str">
        <f>'ADA-6'!$B$9</f>
        <v>Gestion alternative des eaux pluviales</v>
      </c>
      <c r="E115" s="133" t="str">
        <f>'ADA-6'!$B$4</f>
        <v>Territoire</v>
      </c>
      <c r="F115" s="133" t="str">
        <f>'ADA-6'!$B$12</f>
        <v>AC MESSANCY</v>
      </c>
      <c r="G115" s="133" t="str">
        <f>'ADA-6'!$B$6</f>
        <v>Néant</v>
      </c>
      <c r="H115" s="134">
        <f>'ADA-6'!$B$17</f>
        <v>100000</v>
      </c>
      <c r="I115" s="133" t="str">
        <f>'ADA-6'!$B$7</f>
        <v>Néant</v>
      </c>
      <c r="J115" s="134">
        <f>'ADA-6'!$B$18</f>
        <v>30000</v>
      </c>
      <c r="K115" s="134">
        <f>'ADA-6'!$B$21</f>
        <v>1</v>
      </c>
      <c r="L115" s="134">
        <f>'ADA-6'!$B$22</f>
        <v>0</v>
      </c>
      <c r="M115" s="135">
        <f>'ADA-6'!$B$24</f>
        <v>70000</v>
      </c>
      <c r="N115" s="135">
        <f>'ADA-6'!$B$20/1000</f>
        <v>0</v>
      </c>
      <c r="O115" s="136">
        <f t="shared" si="136"/>
        <v>0</v>
      </c>
      <c r="P115" s="137" t="str">
        <f>'ADA-6'!$B$5</f>
        <v>Terminé</v>
      </c>
      <c r="Q115" s="140">
        <f>'ADA-6'!$B$16</f>
        <v>2018</v>
      </c>
      <c r="R115" s="283">
        <f t="shared" si="137"/>
        <v>0</v>
      </c>
      <c r="S115" s="138">
        <f t="shared" si="138"/>
        <v>0</v>
      </c>
      <c r="T115" s="138">
        <f t="shared" si="139"/>
        <v>0</v>
      </c>
      <c r="U115" s="138">
        <f t="shared" si="140"/>
        <v>0</v>
      </c>
      <c r="V115" s="138">
        <f t="shared" si="141"/>
        <v>0</v>
      </c>
      <c r="W115" s="138">
        <f t="shared" si="142"/>
        <v>0</v>
      </c>
      <c r="X115" s="138">
        <f t="shared" si="143"/>
        <v>0</v>
      </c>
      <c r="Y115" s="138">
        <f t="shared" si="144"/>
        <v>0</v>
      </c>
    </row>
    <row r="116" spans="1:82" s="139" customFormat="1" x14ac:dyDescent="0.25">
      <c r="A116" s="371" t="s">
        <v>623</v>
      </c>
      <c r="B116" s="414" t="str">
        <f>'ADA-7'!B$3:E$3</f>
        <v>Gestion communale</v>
      </c>
      <c r="C116" s="419" t="str">
        <f>'ADA-7'!$B$8</f>
        <v>Ilots de chaleur urbain</v>
      </c>
      <c r="D116" s="133" t="str">
        <f>'ADA-7'!$B$9</f>
        <v>Réduction des îlots de chaleur en centre urbain</v>
      </c>
      <c r="E116" s="133" t="str">
        <f>'ADA-7'!$B$4</f>
        <v>Territoire</v>
      </c>
      <c r="F116" s="133" t="str">
        <f>'ADA-7'!$B$12</f>
        <v>AC MESSANCY</v>
      </c>
      <c r="G116" s="133" t="str">
        <f>'ADA-7'!$B$6</f>
        <v>Néant</v>
      </c>
      <c r="H116" s="134">
        <f>'ADA-7'!$B$17</f>
        <v>0</v>
      </c>
      <c r="I116" s="133" t="str">
        <f>'ADA-7'!$B$7</f>
        <v>Néant</v>
      </c>
      <c r="J116" s="134">
        <f>'ADA-7'!$B$18</f>
        <v>0</v>
      </c>
      <c r="K116" s="134">
        <f>'ADA-7'!$B$21</f>
        <v>1</v>
      </c>
      <c r="L116" s="134">
        <f>'ADA-7'!$B$22</f>
        <v>0</v>
      </c>
      <c r="M116" s="135">
        <f>'ADA-7'!$B$24</f>
        <v>0</v>
      </c>
      <c r="N116" s="135">
        <f>'ADA-7'!$B$20/1000</f>
        <v>0</v>
      </c>
      <c r="O116" s="136">
        <f t="shared" si="136"/>
        <v>0</v>
      </c>
      <c r="P116" s="137" t="str">
        <f>'ADA-7'!$B$5</f>
        <v>Ne pas réaliser</v>
      </c>
      <c r="Q116" s="140">
        <f>'ADA-7'!$B$16</f>
        <v>2030</v>
      </c>
      <c r="R116" s="283" t="str">
        <f t="shared" si="137"/>
        <v/>
      </c>
      <c r="S116" s="138">
        <f t="shared" si="138"/>
        <v>0</v>
      </c>
      <c r="T116" s="138">
        <f t="shared" si="139"/>
        <v>0</v>
      </c>
      <c r="U116" s="138">
        <f t="shared" si="140"/>
        <v>0</v>
      </c>
      <c r="V116" s="138">
        <f t="shared" si="141"/>
        <v>0</v>
      </c>
      <c r="W116" s="138">
        <f t="shared" si="142"/>
        <v>0</v>
      </c>
      <c r="X116" s="138">
        <f t="shared" si="143"/>
        <v>0</v>
      </c>
      <c r="Y116" s="138">
        <f t="shared" si="144"/>
        <v>0</v>
      </c>
    </row>
    <row r="117" spans="1:82" s="139" customFormat="1" x14ac:dyDescent="0.25">
      <c r="A117" s="371" t="s">
        <v>624</v>
      </c>
      <c r="B117" s="414" t="str">
        <f>'ADA-8'!B$3:E$3</f>
        <v>Gestion communale</v>
      </c>
      <c r="C117" s="419" t="str">
        <f>'ADA-8'!$B$8</f>
        <v>Ressources en eau</v>
      </c>
      <c r="D117" s="133" t="str">
        <f>'ADA-8'!$B$9</f>
        <v>Réduction de la pression sur les ressources en eau</v>
      </c>
      <c r="E117" s="133" t="str">
        <f>'ADA-8'!$B$4</f>
        <v>Territoire</v>
      </c>
      <c r="F117" s="133" t="str">
        <f>'ADA-8'!$B$12</f>
        <v>AC MESSANCY</v>
      </c>
      <c r="G117" s="133" t="str">
        <f>'ADA-8'!$B$6</f>
        <v>Néant</v>
      </c>
      <c r="H117" s="134">
        <f>'ADA-8'!$B$17</f>
        <v>10000</v>
      </c>
      <c r="I117" s="133" t="str">
        <f>'ADA-8'!$B$7</f>
        <v>Néant</v>
      </c>
      <c r="J117" s="134">
        <f>'ADA-8'!$B$18</f>
        <v>0</v>
      </c>
      <c r="K117" s="134">
        <f>'ADA-8'!$B$21</f>
        <v>1</v>
      </c>
      <c r="L117" s="134">
        <f>'ADA-8'!$B$22</f>
        <v>0</v>
      </c>
      <c r="M117" s="135">
        <f>'ADA-8'!$B$24</f>
        <v>10000</v>
      </c>
      <c r="N117" s="135">
        <f>'ADA-8'!$B$20/1000</f>
        <v>0</v>
      </c>
      <c r="O117" s="136">
        <f t="shared" si="136"/>
        <v>0</v>
      </c>
      <c r="P117" s="137" t="str">
        <f>'ADA-8'!$B$5</f>
        <v>A faire</v>
      </c>
      <c r="Q117" s="140">
        <f>'ADA-8'!$B$16</f>
        <v>2030</v>
      </c>
      <c r="R117" s="283" t="str">
        <f t="shared" si="137"/>
        <v/>
      </c>
      <c r="S117" s="138">
        <f t="shared" si="138"/>
        <v>0</v>
      </c>
      <c r="T117" s="138">
        <f t="shared" si="139"/>
        <v>0</v>
      </c>
      <c r="U117" s="138">
        <f t="shared" si="140"/>
        <v>0</v>
      </c>
      <c r="V117" s="138">
        <f t="shared" si="141"/>
        <v>0</v>
      </c>
      <c r="W117" s="138">
        <f t="shared" si="142"/>
        <v>0</v>
      </c>
      <c r="X117" s="138">
        <f t="shared" si="143"/>
        <v>0</v>
      </c>
      <c r="Y117" s="138">
        <f t="shared" si="144"/>
        <v>0</v>
      </c>
    </row>
    <row r="118" spans="1:82" s="139" customFormat="1" x14ac:dyDescent="0.25">
      <c r="A118" s="371" t="s">
        <v>625</v>
      </c>
      <c r="B118" s="414" t="str">
        <f>'ADA-9'!B$3:E$3</f>
        <v>Gestion communale</v>
      </c>
      <c r="C118" s="419" t="str">
        <f>'ADA-9'!$B$8</f>
        <v>Cultures et élevage</v>
      </c>
      <c r="D118" s="133" t="str">
        <f>'ADA-9'!$B$9</f>
        <v>Prévention des périodes de sécheresse</v>
      </c>
      <c r="E118" s="133" t="str">
        <f>'ADA-9'!$B$4</f>
        <v>Territoire</v>
      </c>
      <c r="F118" s="133" t="str">
        <f>'ADA-9'!$B$12</f>
        <v>IDELUX</v>
      </c>
      <c r="G118" s="133" t="str">
        <f>'ADA-9'!$B$6</f>
        <v>Néant</v>
      </c>
      <c r="H118" s="134">
        <f>'ADA-9'!$B$17</f>
        <v>200000</v>
      </c>
      <c r="I118" s="133" t="str">
        <f>'ADA-9'!$B$7</f>
        <v>Néant</v>
      </c>
      <c r="J118" s="134">
        <f>'ADA-9'!$B$18</f>
        <v>60000</v>
      </c>
      <c r="K118" s="134">
        <f>'ADA-9'!$B$21</f>
        <v>1</v>
      </c>
      <c r="L118" s="134">
        <f>'ADA-9'!$B$22</f>
        <v>0</v>
      </c>
      <c r="M118" s="135">
        <f>'ADA-9'!$B$24</f>
        <v>140000</v>
      </c>
      <c r="N118" s="135">
        <f>'ADA-9'!$B$20/1000</f>
        <v>0</v>
      </c>
      <c r="O118" s="136">
        <f t="shared" si="136"/>
        <v>0</v>
      </c>
      <c r="P118" s="137" t="str">
        <f>'ADA-9'!$B$5</f>
        <v>A investiguer</v>
      </c>
      <c r="Q118" s="140">
        <f>'ADA-9'!$B$16</f>
        <v>2030</v>
      </c>
      <c r="R118" s="283" t="str">
        <f t="shared" si="137"/>
        <v/>
      </c>
      <c r="S118" s="138">
        <f t="shared" si="138"/>
        <v>0</v>
      </c>
      <c r="T118" s="138">
        <f t="shared" si="139"/>
        <v>0</v>
      </c>
      <c r="U118" s="138">
        <f t="shared" si="140"/>
        <v>0</v>
      </c>
      <c r="V118" s="138">
        <f t="shared" si="141"/>
        <v>0</v>
      </c>
      <c r="W118" s="138">
        <f t="shared" si="142"/>
        <v>0</v>
      </c>
      <c r="X118" s="138">
        <f t="shared" si="143"/>
        <v>0</v>
      </c>
      <c r="Y118" s="138">
        <f t="shared" si="144"/>
        <v>0</v>
      </c>
    </row>
    <row r="119" spans="1:82" s="139" customFormat="1" x14ac:dyDescent="0.25">
      <c r="A119" s="371" t="s">
        <v>626</v>
      </c>
      <c r="B119" s="414" t="str">
        <f>'ADA-10'!B$3:E$3</f>
        <v>Gestion communale</v>
      </c>
      <c r="C119" s="419" t="str">
        <f>'ADA-10'!$B$8</f>
        <v>Eaux de surface</v>
      </c>
      <c r="D119" s="133" t="str">
        <f>'ADA-10'!$B$9</f>
        <v>Amélioration de la qualité des eaux de surfaces</v>
      </c>
      <c r="E119" s="133" t="str">
        <f>'ADA-10'!$B$4</f>
        <v>Territoire</v>
      </c>
      <c r="F119" s="133" t="str">
        <f>'ADA-10'!$B$12</f>
        <v>IDELUX</v>
      </c>
      <c r="G119" s="133" t="str">
        <f>'ADA-10'!$B$6</f>
        <v>Néant</v>
      </c>
      <c r="H119" s="134">
        <f>'ADA-10'!$B$17</f>
        <v>500000</v>
      </c>
      <c r="I119" s="133" t="str">
        <f>'ADA-10'!$B$7</f>
        <v>Néant</v>
      </c>
      <c r="J119" s="134">
        <f>'ADA-10'!$B$18</f>
        <v>0</v>
      </c>
      <c r="K119" s="134">
        <f>'ADA-10'!$B$21</f>
        <v>1</v>
      </c>
      <c r="L119" s="134">
        <f>'ADA-10'!$B$22</f>
        <v>0</v>
      </c>
      <c r="M119" s="135">
        <f>'ADA-10'!$B$24</f>
        <v>500000</v>
      </c>
      <c r="N119" s="135">
        <f>'ADA-10'!$B$20/1000</f>
        <v>0</v>
      </c>
      <c r="O119" s="136">
        <f t="shared" si="136"/>
        <v>0</v>
      </c>
      <c r="P119" s="137" t="str">
        <f>'ADA-10'!$B$5</f>
        <v>A faire</v>
      </c>
      <c r="Q119" s="140">
        <f>'ADA-10'!$B$16</f>
        <v>2030</v>
      </c>
      <c r="R119" s="283" t="str">
        <f t="shared" si="137"/>
        <v/>
      </c>
      <c r="S119" s="138">
        <f t="shared" si="138"/>
        <v>0</v>
      </c>
      <c r="T119" s="138">
        <f t="shared" si="139"/>
        <v>0</v>
      </c>
      <c r="U119" s="138">
        <f t="shared" si="140"/>
        <v>0</v>
      </c>
      <c r="V119" s="138">
        <f t="shared" si="141"/>
        <v>0</v>
      </c>
      <c r="W119" s="138">
        <f t="shared" si="142"/>
        <v>0</v>
      </c>
      <c r="X119" s="138">
        <f t="shared" si="143"/>
        <v>0</v>
      </c>
      <c r="Y119" s="138">
        <f t="shared" si="144"/>
        <v>0</v>
      </c>
    </row>
    <row r="120" spans="1:82" s="139" customFormat="1" x14ac:dyDescent="0.25">
      <c r="A120" s="371" t="s">
        <v>627</v>
      </c>
      <c r="B120" s="414" t="str">
        <f>'ADA-11'!B$3:E$3</f>
        <v>Gestion communale</v>
      </c>
      <c r="C120" s="419" t="str">
        <f>'ADA-11'!$B$8</f>
        <v>Urbanisme</v>
      </c>
      <c r="D120" s="133" t="str">
        <f>'ADA-11'!$B$9</f>
        <v>Régles urbanistiques adaptées au réchauffement climatique</v>
      </c>
      <c r="E120" s="133" t="str">
        <f>'ADA-11'!$B$4</f>
        <v>Territoire</v>
      </c>
      <c r="F120" s="133" t="str">
        <f>'ADA-11'!$B$12</f>
        <v>AC MESSANCY</v>
      </c>
      <c r="G120" s="133" t="str">
        <f>'ADA-11'!$B$6</f>
        <v>Néant</v>
      </c>
      <c r="H120" s="134">
        <f>'ADA-11'!$B$17</f>
        <v>0</v>
      </c>
      <c r="I120" s="133" t="str">
        <f>'ADA-11'!$B$7</f>
        <v>Néant</v>
      </c>
      <c r="J120" s="134">
        <f>'ADA-11'!$B$18</f>
        <v>0</v>
      </c>
      <c r="K120" s="134">
        <f>'ADA-11'!$B$21</f>
        <v>1</v>
      </c>
      <c r="L120" s="134">
        <f>'ADA-11'!$B$22</f>
        <v>0</v>
      </c>
      <c r="M120" s="135">
        <f>'ADA-11'!$B$24</f>
        <v>0</v>
      </c>
      <c r="N120" s="135">
        <f>'ADA-11'!$B$20/1000</f>
        <v>0</v>
      </c>
      <c r="O120" s="136">
        <f t="shared" si="136"/>
        <v>0</v>
      </c>
      <c r="P120" s="137" t="str">
        <f>'ADA-11'!$B$5</f>
        <v>Terminé</v>
      </c>
      <c r="Q120" s="140">
        <f>'ADA-11'!$B$16</f>
        <v>2012</v>
      </c>
      <c r="R120" s="283">
        <f t="shared" si="137"/>
        <v>0</v>
      </c>
      <c r="S120" s="138">
        <f t="shared" si="138"/>
        <v>0</v>
      </c>
      <c r="T120" s="138">
        <f t="shared" si="139"/>
        <v>0</v>
      </c>
      <c r="U120" s="138">
        <f t="shared" si="140"/>
        <v>0</v>
      </c>
      <c r="V120" s="138">
        <f t="shared" si="141"/>
        <v>0</v>
      </c>
      <c r="W120" s="138">
        <f t="shared" si="142"/>
        <v>0</v>
      </c>
      <c r="X120" s="138">
        <f t="shared" si="143"/>
        <v>0</v>
      </c>
      <c r="Y120" s="138">
        <f t="shared" si="144"/>
        <v>0</v>
      </c>
    </row>
    <row r="121" spans="1:82" s="139" customFormat="1" x14ac:dyDescent="0.25">
      <c r="A121" s="371" t="s">
        <v>628</v>
      </c>
      <c r="B121" s="414" t="str">
        <f>'ADA-12'!B$3:E$3</f>
        <v>Gestion communale</v>
      </c>
      <c r="C121" s="419" t="str">
        <f>'ADA-12'!$B$8</f>
        <v>Urbanisme</v>
      </c>
      <c r="D121" s="133" t="str">
        <f>'ADA-12'!$B$9</f>
        <v>Règles urbanistiques en zones inondables</v>
      </c>
      <c r="E121" s="133" t="str">
        <f>'ADA-12'!$B$4</f>
        <v>Territoire</v>
      </c>
      <c r="F121" s="133" t="str">
        <f>'ADA-12'!$B$12</f>
        <v>AC MESSANCY</v>
      </c>
      <c r="G121" s="133" t="str">
        <f>'ADA-12'!$B$6</f>
        <v>Néant</v>
      </c>
      <c r="H121" s="134">
        <f>'ADA-12'!$B$17</f>
        <v>0</v>
      </c>
      <c r="I121" s="133" t="str">
        <f>'ADA-12'!$B$7</f>
        <v>Néant</v>
      </c>
      <c r="J121" s="134">
        <f>'ADA-12'!$B$18</f>
        <v>0</v>
      </c>
      <c r="K121" s="134">
        <f>'ADA-12'!$B$21</f>
        <v>1</v>
      </c>
      <c r="L121" s="134">
        <f>'ADA-12'!$B$22</f>
        <v>0</v>
      </c>
      <c r="M121" s="135">
        <f>'ADA-12'!$B$24</f>
        <v>0</v>
      </c>
      <c r="N121" s="135">
        <f>'ADA-12'!$B$20/1000</f>
        <v>0</v>
      </c>
      <c r="O121" s="136">
        <f t="shared" si="136"/>
        <v>0</v>
      </c>
      <c r="P121" s="137" t="str">
        <f>'ADA-12'!$B$5</f>
        <v>Terminé</v>
      </c>
      <c r="Q121" s="140">
        <f>'ADA-12'!$B$16</f>
        <v>2012</v>
      </c>
      <c r="R121" s="283">
        <f t="shared" si="137"/>
        <v>0</v>
      </c>
      <c r="S121" s="138">
        <f t="shared" si="138"/>
        <v>0</v>
      </c>
      <c r="T121" s="138">
        <f t="shared" si="139"/>
        <v>0</v>
      </c>
      <c r="U121" s="138">
        <f t="shared" si="140"/>
        <v>0</v>
      </c>
      <c r="V121" s="138">
        <f t="shared" si="141"/>
        <v>0</v>
      </c>
      <c r="W121" s="138">
        <f t="shared" si="142"/>
        <v>0</v>
      </c>
      <c r="X121" s="138">
        <f t="shared" si="143"/>
        <v>0</v>
      </c>
      <c r="Y121" s="138">
        <f t="shared" si="144"/>
        <v>0</v>
      </c>
    </row>
    <row r="122" spans="1:82" s="139" customFormat="1" x14ac:dyDescent="0.25">
      <c r="A122" s="371" t="s">
        <v>629</v>
      </c>
      <c r="B122" s="414" t="str">
        <f>'ADA-13'!B$3:E$3</f>
        <v>Gestion communale</v>
      </c>
      <c r="C122" s="419" t="str">
        <f>'ADA-13'!$B$8</f>
        <v>Bâtiments publics</v>
      </c>
      <c r="D122" s="133" t="str">
        <f>'ADA-13'!$B$9</f>
        <v>Autonomie énergétique des bâtiments publics</v>
      </c>
      <c r="E122" s="133" t="str">
        <f>'ADA-13'!$B$4</f>
        <v>Territoire</v>
      </c>
      <c r="F122" s="133" t="str">
        <f>'ADA-13'!$B$12</f>
        <v>AC MESSANCY</v>
      </c>
      <c r="G122" s="133" t="str">
        <f>'ADA-13'!$B$6</f>
        <v>Néant</v>
      </c>
      <c r="H122" s="134">
        <f>'ADA-13'!$B$17</f>
        <v>500000</v>
      </c>
      <c r="I122" s="133" t="str">
        <f>'ADA-13'!$B$7</f>
        <v>Néant</v>
      </c>
      <c r="J122" s="134">
        <f>'ADA-13'!$B$18</f>
        <v>200000</v>
      </c>
      <c r="K122" s="134">
        <f>'ADA-13'!$B$21</f>
        <v>1</v>
      </c>
      <c r="L122" s="134">
        <f>'ADA-13'!$B$22</f>
        <v>0</v>
      </c>
      <c r="M122" s="135">
        <f>'ADA-13'!$B$24</f>
        <v>300000</v>
      </c>
      <c r="N122" s="135">
        <f>'ADA-13'!$B$20/1000</f>
        <v>0</v>
      </c>
      <c r="O122" s="136">
        <f t="shared" si="136"/>
        <v>0</v>
      </c>
      <c r="P122" s="137" t="str">
        <f>'ADA-13'!$B$5</f>
        <v>A faire</v>
      </c>
      <c r="Q122" s="140">
        <f>'ADA-13'!$B$16</f>
        <v>2030</v>
      </c>
      <c r="R122" s="283" t="str">
        <f t="shared" si="137"/>
        <v/>
      </c>
      <c r="S122" s="138">
        <f t="shared" si="138"/>
        <v>0</v>
      </c>
      <c r="T122" s="138">
        <f t="shared" si="139"/>
        <v>0</v>
      </c>
      <c r="U122" s="138">
        <f t="shared" si="140"/>
        <v>0</v>
      </c>
      <c r="V122" s="138">
        <f t="shared" si="141"/>
        <v>0</v>
      </c>
      <c r="W122" s="138">
        <f t="shared" si="142"/>
        <v>0</v>
      </c>
      <c r="X122" s="138">
        <f t="shared" si="143"/>
        <v>0</v>
      </c>
      <c r="Y122" s="138">
        <f t="shared" si="144"/>
        <v>0</v>
      </c>
    </row>
    <row r="123" spans="1:82" s="139" customFormat="1" x14ac:dyDescent="0.25">
      <c r="A123" s="371" t="s">
        <v>784</v>
      </c>
      <c r="B123" s="414" t="str">
        <f>'ADA-20'!B$3:E$3</f>
        <v>Aménagement du territoire</v>
      </c>
      <c r="C123" s="419" t="str">
        <f>'ADA-20'!$B$8</f>
        <v>Coulées de boues</v>
      </c>
      <c r="D123" s="133" t="str">
        <f>'ADA-20'!$B$9</f>
        <v>Limitation des coulées de boues</v>
      </c>
      <c r="E123" s="133" t="str">
        <f>'ADA-20'!$B$4</f>
        <v>Territoire</v>
      </c>
      <c r="F123" s="133" t="str">
        <f>'ADA-20'!$B$12</f>
        <v>AC MESSANCY</v>
      </c>
      <c r="G123" s="133" t="str">
        <f>'ADA-20'!$B$6</f>
        <v>Néant</v>
      </c>
      <c r="H123" s="134">
        <f>'ADA-20'!$B$17</f>
        <v>100000</v>
      </c>
      <c r="I123" s="133" t="str">
        <f>'ADA-20'!$B$7</f>
        <v>Néant</v>
      </c>
      <c r="J123" s="134">
        <f>'ADA-20'!$B$18</f>
        <v>0</v>
      </c>
      <c r="K123" s="134">
        <f>'ADA-20'!$B$21</f>
        <v>1</v>
      </c>
      <c r="L123" s="134">
        <f>'ADA-20'!$B$22</f>
        <v>0</v>
      </c>
      <c r="M123" s="135">
        <f>'ADA-20'!$B$24</f>
        <v>100000</v>
      </c>
      <c r="N123" s="135">
        <f>'ADA-20'!$B$20/1000</f>
        <v>0</v>
      </c>
      <c r="O123" s="136">
        <f t="shared" si="136"/>
        <v>0</v>
      </c>
      <c r="P123" s="137" t="str">
        <f>'ADA-20'!$B$5</f>
        <v>A faire</v>
      </c>
      <c r="Q123" s="140">
        <f>'ADA-20'!$B$16</f>
        <v>2030</v>
      </c>
      <c r="R123" s="283" t="str">
        <f t="shared" si="137"/>
        <v/>
      </c>
      <c r="S123" s="138">
        <f t="shared" si="138"/>
        <v>0</v>
      </c>
      <c r="T123" s="138">
        <f t="shared" si="139"/>
        <v>0</v>
      </c>
      <c r="U123" s="138">
        <f t="shared" si="140"/>
        <v>0</v>
      </c>
      <c r="V123" s="138">
        <f t="shared" si="141"/>
        <v>0</v>
      </c>
      <c r="W123" s="138">
        <f t="shared" si="142"/>
        <v>0</v>
      </c>
      <c r="X123" s="138">
        <f t="shared" si="143"/>
        <v>0</v>
      </c>
      <c r="Y123" s="138">
        <f t="shared" si="144"/>
        <v>0</v>
      </c>
    </row>
    <row r="124" spans="1:82" s="139" customFormat="1" x14ac:dyDescent="0.25">
      <c r="A124" s="371" t="s">
        <v>783</v>
      </c>
      <c r="B124" s="414" t="str">
        <f>'ADA-21'!B$3:E$3</f>
        <v>Aménagement du territoire</v>
      </c>
      <c r="C124" s="419" t="str">
        <f>'ADA-21'!$B$8</f>
        <v>Inondations</v>
      </c>
      <c r="D124" s="133" t="str">
        <f>'ADA-21'!$B$9</f>
        <v xml:space="preserve">Dispositifs pour eaux pluviales </v>
      </c>
      <c r="E124" s="133" t="str">
        <f>'ADA-21'!$B$4</f>
        <v>Territoire</v>
      </c>
      <c r="F124" s="133" t="str">
        <f>'ADA-21'!$B$12</f>
        <v>AC MESSANCY</v>
      </c>
      <c r="G124" s="133" t="str">
        <f>'ADA-21'!$B$6</f>
        <v>Néant</v>
      </c>
      <c r="H124" s="134">
        <f>'ADA-21'!$B$17</f>
        <v>0</v>
      </c>
      <c r="I124" s="133" t="str">
        <f>'ADA-21'!$B$7</f>
        <v>Néant</v>
      </c>
      <c r="J124" s="134">
        <f>'ADA-21'!$B$18</f>
        <v>0</v>
      </c>
      <c r="K124" s="134">
        <f>'ADA-21'!$B$21</f>
        <v>1</v>
      </c>
      <c r="L124" s="134">
        <f>'ADA-21'!$B$22</f>
        <v>0</v>
      </c>
      <c r="M124" s="135">
        <f>'ADA-21'!$B$24</f>
        <v>0</v>
      </c>
      <c r="N124" s="135">
        <f>'ADA-21'!$B$20/1000</f>
        <v>0</v>
      </c>
      <c r="O124" s="136">
        <f t="shared" si="136"/>
        <v>0</v>
      </c>
      <c r="P124" s="137" t="str">
        <f>'ADA-21'!$B$5</f>
        <v>Ne pas réaliser</v>
      </c>
      <c r="Q124" s="140">
        <f>'ADA-21'!$B$16</f>
        <v>0</v>
      </c>
      <c r="R124" s="283" t="str">
        <f t="shared" si="137"/>
        <v/>
      </c>
      <c r="S124" s="138">
        <f t="shared" si="138"/>
        <v>0</v>
      </c>
      <c r="T124" s="138">
        <f t="shared" si="139"/>
        <v>0</v>
      </c>
      <c r="U124" s="138">
        <f t="shared" si="140"/>
        <v>0</v>
      </c>
      <c r="V124" s="138">
        <f t="shared" si="141"/>
        <v>0</v>
      </c>
      <c r="W124" s="138">
        <f t="shared" si="142"/>
        <v>0</v>
      </c>
      <c r="X124" s="138">
        <f t="shared" si="143"/>
        <v>0</v>
      </c>
      <c r="Y124" s="138">
        <f t="shared" si="144"/>
        <v>0</v>
      </c>
    </row>
    <row r="125" spans="1:82" s="139" customFormat="1" x14ac:dyDescent="0.25">
      <c r="A125" s="371" t="s">
        <v>782</v>
      </c>
      <c r="B125" s="414" t="str">
        <f>'ADA-22'!B$3:E$3</f>
        <v>Aménagement du territoire</v>
      </c>
      <c r="C125" s="419" t="str">
        <f>'ADA-22'!$B$8</f>
        <v>Bocage</v>
      </c>
      <c r="D125" s="133" t="str">
        <f>'ADA-22'!$B$9</f>
        <v>Renforcement du maillage vert</v>
      </c>
      <c r="E125" s="133" t="str">
        <f>'ADA-22'!$B$4</f>
        <v>Territoire</v>
      </c>
      <c r="F125" s="133" t="str">
        <f>'ADA-22'!$B$12</f>
        <v>AC MESSANCY</v>
      </c>
      <c r="G125" s="133" t="str">
        <f>'ADA-22'!$B$6</f>
        <v>Néant</v>
      </c>
      <c r="H125" s="134">
        <f>'ADA-22'!$B$17</f>
        <v>180000</v>
      </c>
      <c r="I125" s="133" t="str">
        <f>'ADA-22'!$B$7</f>
        <v>Néant</v>
      </c>
      <c r="J125" s="134">
        <f>'ADA-22'!$B$18</f>
        <v>0</v>
      </c>
      <c r="K125" s="134">
        <f>'ADA-22'!$B$21</f>
        <v>1</v>
      </c>
      <c r="L125" s="134">
        <f>'ADA-22'!$B$22</f>
        <v>0</v>
      </c>
      <c r="M125" s="135">
        <f>'ADA-22'!$B$24</f>
        <v>180000</v>
      </c>
      <c r="N125" s="135">
        <f>'ADA-22'!$B$20/1000</f>
        <v>0</v>
      </c>
      <c r="O125" s="136">
        <f t="shared" si="136"/>
        <v>0</v>
      </c>
      <c r="P125" s="137" t="str">
        <f>'ADA-22'!$B$5</f>
        <v>A faire</v>
      </c>
      <c r="Q125" s="140">
        <f>'ADA-22'!$B$16</f>
        <v>2030</v>
      </c>
      <c r="R125" s="283" t="str">
        <f t="shared" si="137"/>
        <v/>
      </c>
      <c r="S125" s="138">
        <f t="shared" si="138"/>
        <v>0</v>
      </c>
      <c r="T125" s="138">
        <f t="shared" si="139"/>
        <v>0</v>
      </c>
      <c r="U125" s="138">
        <f t="shared" si="140"/>
        <v>0</v>
      </c>
      <c r="V125" s="138">
        <f t="shared" si="141"/>
        <v>0</v>
      </c>
      <c r="W125" s="138">
        <f t="shared" si="142"/>
        <v>0</v>
      </c>
      <c r="X125" s="138">
        <f t="shared" si="143"/>
        <v>0</v>
      </c>
      <c r="Y125" s="138">
        <f t="shared" si="144"/>
        <v>0</v>
      </c>
    </row>
    <row r="126" spans="1:82" s="139" customFormat="1" x14ac:dyDescent="0.25">
      <c r="A126" s="371" t="s">
        <v>781</v>
      </c>
      <c r="B126" s="414" t="str">
        <f>'ADA-23'!B$3:E$3</f>
        <v>Aménagement du territoire</v>
      </c>
      <c r="C126" s="419" t="str">
        <f>'ADA-23'!$B$8</f>
        <v>Forêts</v>
      </c>
      <c r="D126" s="133" t="str">
        <f>'ADA-23'!$B$9</f>
        <v>Prévention des incendies de forêt</v>
      </c>
      <c r="E126" s="133" t="str">
        <f>'ADA-23'!$B$4</f>
        <v>Territoire</v>
      </c>
      <c r="F126" s="133" t="str">
        <f>'ADA-23'!$B$12</f>
        <v>AC MESSANCY</v>
      </c>
      <c r="G126" s="133" t="str">
        <f>'ADA-23'!$B$6</f>
        <v>Néant</v>
      </c>
      <c r="H126" s="134">
        <f>'ADA-23'!$B$17</f>
        <v>0</v>
      </c>
      <c r="I126" s="133" t="str">
        <f>'ADA-23'!$B$7</f>
        <v>Néant</v>
      </c>
      <c r="J126" s="134">
        <f>'ADA-23'!$B$18</f>
        <v>0</v>
      </c>
      <c r="K126" s="134">
        <f>'ADA-23'!$B$21</f>
        <v>1</v>
      </c>
      <c r="L126" s="134">
        <f>'ADA-23'!$B$22</f>
        <v>0</v>
      </c>
      <c r="M126" s="135">
        <f>'ADA-23'!$B$24</f>
        <v>0</v>
      </c>
      <c r="N126" s="135">
        <f>'ADA-23'!$B$20/1000</f>
        <v>0</v>
      </c>
      <c r="O126" s="136">
        <f>IF(H126=0,0,N126/(H126-J126)*1000)</f>
        <v>0</v>
      </c>
      <c r="P126" s="137" t="str">
        <f>'ADA-23'!$B$5</f>
        <v>A faire</v>
      </c>
      <c r="Q126" s="140">
        <f>'ADA-23'!$B$16</f>
        <v>2030</v>
      </c>
      <c r="R126" s="283" t="str">
        <f>IF(P126="terminé", N126,"")</f>
        <v/>
      </c>
      <c r="S126" s="138">
        <f>IF((P126="Terminé")*AND(E126="Territoire"),N126,0)</f>
        <v>0</v>
      </c>
      <c r="T126" s="138">
        <f>IF((P126="Terminé")*AND(E126="Agriculture"),N126,0)</f>
        <v>0</v>
      </c>
      <c r="U126" s="138">
        <f>IF((P126="Terminé")*AND(E126="Industrie"), N126,0)</f>
        <v>0</v>
      </c>
      <c r="V126" s="138">
        <f>IF((P126="Terminé")*AND(E126="Logement"),N126,0)</f>
        <v>0</v>
      </c>
      <c r="W126" s="138">
        <f>IF((P126="Terminé")*AND(E126="Tertiaire"),N126,0)</f>
        <v>0</v>
      </c>
      <c r="X126" s="138">
        <f>IF((P126="Terminé")*AND(E126="Transport"),N126,0)</f>
        <v>0</v>
      </c>
      <c r="Y126" s="138">
        <f>IF((P126="Terminé")*AND(E126="Communal"),N126,0)</f>
        <v>0</v>
      </c>
    </row>
    <row r="127" spans="1:82" s="139" customFormat="1" x14ac:dyDescent="0.25">
      <c r="A127" s="406"/>
      <c r="B127" s="406"/>
      <c r="C127" s="362"/>
      <c r="D127" s="362"/>
      <c r="E127" s="362"/>
      <c r="F127" s="362"/>
      <c r="G127" s="362"/>
      <c r="H127" s="363"/>
      <c r="I127" s="362"/>
      <c r="J127" s="363"/>
      <c r="K127" s="363"/>
      <c r="L127" s="363"/>
      <c r="M127" s="364"/>
      <c r="N127" s="364"/>
      <c r="O127" s="365"/>
      <c r="P127" s="362"/>
      <c r="Q127" s="366"/>
      <c r="R127" s="366">
        <f>SUM(R110:R126)</f>
        <v>0</v>
      </c>
      <c r="S127" s="366">
        <f t="shared" ref="S127:Y127" si="145">SUM(S110:S126)</f>
        <v>0</v>
      </c>
      <c r="T127" s="366">
        <f t="shared" si="145"/>
        <v>0</v>
      </c>
      <c r="U127" s="366">
        <f t="shared" si="145"/>
        <v>0</v>
      </c>
      <c r="V127" s="366">
        <f t="shared" si="145"/>
        <v>0</v>
      </c>
      <c r="W127" s="366">
        <f t="shared" si="145"/>
        <v>0</v>
      </c>
      <c r="X127" s="366">
        <f t="shared" si="145"/>
        <v>0</v>
      </c>
      <c r="Y127" s="366">
        <f t="shared" si="145"/>
        <v>0</v>
      </c>
      <c r="Z127" s="366">
        <f t="shared" ref="Z127:BS127" si="146">SUM(Z110:Z125)</f>
        <v>0</v>
      </c>
      <c r="AA127" s="366">
        <f t="shared" si="146"/>
        <v>0</v>
      </c>
      <c r="AB127" s="366">
        <f t="shared" si="146"/>
        <v>0</v>
      </c>
      <c r="AC127" s="366">
        <f t="shared" si="146"/>
        <v>0</v>
      </c>
      <c r="AD127" s="366">
        <f t="shared" si="146"/>
        <v>0</v>
      </c>
      <c r="AE127" s="366">
        <f t="shared" si="146"/>
        <v>0</v>
      </c>
      <c r="AF127" s="366">
        <f t="shared" si="146"/>
        <v>0</v>
      </c>
      <c r="AG127" s="366">
        <f t="shared" si="146"/>
        <v>0</v>
      </c>
      <c r="AH127" s="366">
        <f t="shared" si="146"/>
        <v>0</v>
      </c>
      <c r="AI127" s="366">
        <f t="shared" si="146"/>
        <v>0</v>
      </c>
      <c r="AJ127" s="366">
        <f t="shared" si="146"/>
        <v>0</v>
      </c>
      <c r="AK127" s="366">
        <f t="shared" si="146"/>
        <v>0</v>
      </c>
      <c r="AL127" s="366">
        <f t="shared" si="146"/>
        <v>0</v>
      </c>
      <c r="AM127" s="366">
        <f t="shared" si="146"/>
        <v>0</v>
      </c>
      <c r="AN127" s="366">
        <f t="shared" si="146"/>
        <v>0</v>
      </c>
      <c r="AO127" s="366">
        <f t="shared" si="146"/>
        <v>0</v>
      </c>
      <c r="AP127" s="366">
        <f t="shared" si="146"/>
        <v>0</v>
      </c>
      <c r="AQ127" s="366">
        <f t="shared" si="146"/>
        <v>0</v>
      </c>
      <c r="AR127" s="366">
        <f t="shared" si="146"/>
        <v>0</v>
      </c>
      <c r="AS127" s="366">
        <f t="shared" si="146"/>
        <v>0</v>
      </c>
      <c r="AT127" s="366">
        <f t="shared" si="146"/>
        <v>0</v>
      </c>
      <c r="AU127" s="366">
        <f t="shared" si="146"/>
        <v>0</v>
      </c>
      <c r="AV127" s="366">
        <f t="shared" si="146"/>
        <v>0</v>
      </c>
      <c r="AW127" s="366">
        <f t="shared" si="146"/>
        <v>0</v>
      </c>
      <c r="AX127" s="366">
        <f t="shared" si="146"/>
        <v>0</v>
      </c>
      <c r="AY127" s="366">
        <f t="shared" si="146"/>
        <v>0</v>
      </c>
      <c r="AZ127" s="366">
        <f t="shared" si="146"/>
        <v>0</v>
      </c>
      <c r="BA127" s="366">
        <f t="shared" si="146"/>
        <v>0</v>
      </c>
      <c r="BB127" s="366">
        <f t="shared" si="146"/>
        <v>0</v>
      </c>
      <c r="BC127" s="366">
        <f t="shared" si="146"/>
        <v>0</v>
      </c>
      <c r="BD127" s="366">
        <f t="shared" si="146"/>
        <v>0</v>
      </c>
      <c r="BE127" s="366">
        <f t="shared" si="146"/>
        <v>0</v>
      </c>
      <c r="BF127" s="366">
        <f t="shared" si="146"/>
        <v>0</v>
      </c>
      <c r="BG127" s="366">
        <f t="shared" si="146"/>
        <v>0</v>
      </c>
      <c r="BH127" s="366">
        <f t="shared" si="146"/>
        <v>0</v>
      </c>
      <c r="BI127" s="366">
        <f t="shared" si="146"/>
        <v>0</v>
      </c>
      <c r="BJ127" s="366">
        <f t="shared" si="146"/>
        <v>0</v>
      </c>
      <c r="BK127" s="366">
        <f t="shared" si="146"/>
        <v>0</v>
      </c>
      <c r="BL127" s="366">
        <f t="shared" si="146"/>
        <v>0</v>
      </c>
      <c r="BM127" s="366">
        <f t="shared" si="146"/>
        <v>0</v>
      </c>
      <c r="BN127" s="366">
        <f t="shared" si="146"/>
        <v>0</v>
      </c>
      <c r="BO127" s="366">
        <f t="shared" si="146"/>
        <v>0</v>
      </c>
      <c r="BP127" s="366">
        <f t="shared" si="146"/>
        <v>0</v>
      </c>
      <c r="BQ127" s="366">
        <f t="shared" si="146"/>
        <v>0</v>
      </c>
      <c r="BR127" s="366">
        <f t="shared" si="146"/>
        <v>0</v>
      </c>
      <c r="BS127" s="366">
        <f t="shared" si="146"/>
        <v>0</v>
      </c>
      <c r="BT127" s="366"/>
      <c r="BU127" s="366"/>
    </row>
    <row r="128" spans="1:82" s="139" customFormat="1" x14ac:dyDescent="0.25">
      <c r="A128" s="361"/>
      <c r="B128" s="406"/>
      <c r="C128" s="362"/>
      <c r="D128" s="362"/>
      <c r="E128" s="362"/>
      <c r="F128" s="362"/>
      <c r="G128" s="362"/>
      <c r="H128" s="363"/>
      <c r="I128" s="362"/>
      <c r="J128" s="363"/>
      <c r="K128" s="363"/>
      <c r="L128" s="363"/>
      <c r="M128" s="364"/>
      <c r="N128" s="364"/>
      <c r="O128" s="365"/>
      <c r="P128" s="362"/>
      <c r="Q128" s="366"/>
      <c r="R128" s="366">
        <f t="shared" ref="R128:Y128" si="147">SUM(R2:R126)</f>
        <v>26725.670599999998</v>
      </c>
      <c r="S128" s="366">
        <f t="shared" si="147"/>
        <v>1415.5935476878872</v>
      </c>
      <c r="T128" s="366">
        <f t="shared" si="147"/>
        <v>0</v>
      </c>
      <c r="U128" s="366">
        <f t="shared" si="147"/>
        <v>0</v>
      </c>
      <c r="V128" s="366">
        <f t="shared" si="147"/>
        <v>2564.4096000000004</v>
      </c>
      <c r="W128" s="366">
        <f t="shared" si="147"/>
        <v>1118.7</v>
      </c>
      <c r="X128" s="366">
        <f t="shared" si="147"/>
        <v>0</v>
      </c>
      <c r="Y128" s="366">
        <f t="shared" si="147"/>
        <v>21626.96745231211</v>
      </c>
      <c r="Z128" s="366">
        <f t="shared" ref="Z128:BS128" si="148">SUM(Z13:Z125)</f>
        <v>0</v>
      </c>
      <c r="AA128" s="366">
        <f t="shared" si="148"/>
        <v>0</v>
      </c>
      <c r="AB128" s="366">
        <f t="shared" si="148"/>
        <v>0</v>
      </c>
      <c r="AC128" s="366">
        <f t="shared" si="148"/>
        <v>0</v>
      </c>
      <c r="AD128" s="366">
        <f t="shared" si="148"/>
        <v>0</v>
      </c>
      <c r="AE128" s="366">
        <f t="shared" si="148"/>
        <v>0</v>
      </c>
      <c r="AF128" s="366">
        <f t="shared" si="148"/>
        <v>0</v>
      </c>
      <c r="AG128" s="366">
        <f t="shared" si="148"/>
        <v>0</v>
      </c>
      <c r="AH128" s="366">
        <f t="shared" si="148"/>
        <v>0</v>
      </c>
      <c r="AI128" s="366">
        <f t="shared" si="148"/>
        <v>0</v>
      </c>
      <c r="AJ128" s="366">
        <f t="shared" si="148"/>
        <v>0</v>
      </c>
      <c r="AK128" s="366">
        <f t="shared" si="148"/>
        <v>0</v>
      </c>
      <c r="AL128" s="366">
        <f t="shared" si="148"/>
        <v>0</v>
      </c>
      <c r="AM128" s="366">
        <f t="shared" si="148"/>
        <v>0</v>
      </c>
      <c r="AN128" s="366">
        <f t="shared" si="148"/>
        <v>0</v>
      </c>
      <c r="AO128" s="366">
        <f t="shared" si="148"/>
        <v>0</v>
      </c>
      <c r="AP128" s="366">
        <f t="shared" si="148"/>
        <v>0</v>
      </c>
      <c r="AQ128" s="366">
        <f t="shared" si="148"/>
        <v>0</v>
      </c>
      <c r="AR128" s="366">
        <f t="shared" si="148"/>
        <v>0</v>
      </c>
      <c r="AS128" s="366">
        <f t="shared" si="148"/>
        <v>0</v>
      </c>
      <c r="AT128" s="366">
        <f t="shared" si="148"/>
        <v>0</v>
      </c>
      <c r="AU128" s="366">
        <f t="shared" si="148"/>
        <v>0</v>
      </c>
      <c r="AV128" s="366">
        <f t="shared" si="148"/>
        <v>0</v>
      </c>
      <c r="AW128" s="366">
        <f t="shared" si="148"/>
        <v>0</v>
      </c>
      <c r="AX128" s="366">
        <f t="shared" si="148"/>
        <v>0</v>
      </c>
      <c r="AY128" s="366">
        <f t="shared" si="148"/>
        <v>0</v>
      </c>
      <c r="AZ128" s="366">
        <f t="shared" si="148"/>
        <v>0</v>
      </c>
      <c r="BA128" s="366">
        <f t="shared" si="148"/>
        <v>0</v>
      </c>
      <c r="BB128" s="366">
        <f t="shared" si="148"/>
        <v>0</v>
      </c>
      <c r="BC128" s="366">
        <f t="shared" si="148"/>
        <v>0</v>
      </c>
      <c r="BD128" s="366">
        <f t="shared" si="148"/>
        <v>0</v>
      </c>
      <c r="BE128" s="366">
        <f t="shared" si="148"/>
        <v>0</v>
      </c>
      <c r="BF128" s="366">
        <f t="shared" si="148"/>
        <v>0</v>
      </c>
      <c r="BG128" s="366">
        <f t="shared" si="148"/>
        <v>0</v>
      </c>
      <c r="BH128" s="366">
        <f t="shared" si="148"/>
        <v>0</v>
      </c>
      <c r="BI128" s="366">
        <f t="shared" si="148"/>
        <v>0</v>
      </c>
      <c r="BJ128" s="366">
        <f t="shared" si="148"/>
        <v>0</v>
      </c>
      <c r="BK128" s="366">
        <f t="shared" si="148"/>
        <v>0</v>
      </c>
      <c r="BL128" s="366">
        <f t="shared" si="148"/>
        <v>0</v>
      </c>
      <c r="BM128" s="366">
        <f t="shared" si="148"/>
        <v>0</v>
      </c>
      <c r="BN128" s="366">
        <f t="shared" si="148"/>
        <v>0</v>
      </c>
      <c r="BO128" s="366">
        <f t="shared" si="148"/>
        <v>0</v>
      </c>
      <c r="BP128" s="366">
        <f t="shared" si="148"/>
        <v>0</v>
      </c>
      <c r="BQ128" s="366">
        <f t="shared" si="148"/>
        <v>0</v>
      </c>
      <c r="BR128" s="366">
        <f t="shared" si="148"/>
        <v>0</v>
      </c>
      <c r="BS128" s="366">
        <f t="shared" si="148"/>
        <v>0</v>
      </c>
      <c r="BT128" s="366"/>
      <c r="BU128" s="366"/>
      <c r="BV128" s="366"/>
      <c r="BW128" s="366"/>
      <c r="BX128" s="366"/>
      <c r="BY128" s="366"/>
      <c r="BZ128" s="366"/>
      <c r="CA128" s="366"/>
      <c r="CB128" s="366"/>
      <c r="CC128" s="366"/>
      <c r="CD128" s="366"/>
    </row>
    <row r="129" spans="1:82" s="139" customFormat="1" x14ac:dyDescent="0.25">
      <c r="A129" s="361"/>
      <c r="B129" s="202"/>
      <c r="C129" s="30"/>
      <c r="D129" s="30"/>
      <c r="E129" s="30"/>
      <c r="F129" s="30"/>
      <c r="G129" s="30"/>
      <c r="H129" s="51"/>
      <c r="I129" s="51"/>
      <c r="J129" s="51"/>
      <c r="K129" s="51"/>
      <c r="L129" s="51"/>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66"/>
      <c r="BW129" s="366"/>
      <c r="BX129" s="366"/>
      <c r="BY129" s="366"/>
      <c r="BZ129" s="366"/>
      <c r="CA129" s="366"/>
      <c r="CB129" s="366"/>
      <c r="CC129" s="366"/>
      <c r="CD129" s="366"/>
    </row>
    <row r="130" spans="1:82" ht="15.75" x14ac:dyDescent="0.25">
      <c r="N130" s="942">
        <f>SUM(N2:N14)+SUM(N17:N23)+N25+SUM(N27:N32)+N37+N52+N53+N61+N62</f>
        <v>0</v>
      </c>
      <c r="R130" s="53">
        <f>R128-R127</f>
        <v>26725.670599999998</v>
      </c>
      <c r="S130" s="53">
        <f t="shared" ref="S130:BS130" si="149">S128-S127</f>
        <v>1415.5935476878872</v>
      </c>
      <c r="T130" s="53">
        <f t="shared" si="149"/>
        <v>0</v>
      </c>
      <c r="U130" s="53">
        <f t="shared" si="149"/>
        <v>0</v>
      </c>
      <c r="V130" s="53">
        <f t="shared" si="149"/>
        <v>2564.4096000000004</v>
      </c>
      <c r="W130" s="53">
        <f t="shared" si="149"/>
        <v>1118.7</v>
      </c>
      <c r="X130" s="53">
        <f t="shared" si="149"/>
        <v>0</v>
      </c>
      <c r="Y130" s="53">
        <f t="shared" si="149"/>
        <v>21626.96745231211</v>
      </c>
      <c r="Z130" s="53">
        <f t="shared" si="149"/>
        <v>0</v>
      </c>
      <c r="AA130" s="53">
        <f t="shared" si="149"/>
        <v>0</v>
      </c>
      <c r="AB130" s="53">
        <f t="shared" si="149"/>
        <v>0</v>
      </c>
      <c r="AC130" s="53">
        <f t="shared" si="149"/>
        <v>0</v>
      </c>
      <c r="AD130" s="53">
        <f t="shared" si="149"/>
        <v>0</v>
      </c>
      <c r="AE130" s="53">
        <f t="shared" si="149"/>
        <v>0</v>
      </c>
      <c r="AF130" s="53">
        <f t="shared" si="149"/>
        <v>0</v>
      </c>
      <c r="AG130" s="53">
        <f t="shared" si="149"/>
        <v>0</v>
      </c>
      <c r="AH130" s="53">
        <f t="shared" si="149"/>
        <v>0</v>
      </c>
      <c r="AI130" s="53">
        <f t="shared" si="149"/>
        <v>0</v>
      </c>
      <c r="AJ130" s="53">
        <f t="shared" si="149"/>
        <v>0</v>
      </c>
      <c r="AK130" s="53">
        <f t="shared" si="149"/>
        <v>0</v>
      </c>
      <c r="AL130" s="53">
        <f t="shared" si="149"/>
        <v>0</v>
      </c>
      <c r="AM130" s="53">
        <f t="shared" si="149"/>
        <v>0</v>
      </c>
      <c r="AN130" s="53">
        <f t="shared" si="149"/>
        <v>0</v>
      </c>
      <c r="AO130" s="53">
        <f t="shared" si="149"/>
        <v>0</v>
      </c>
      <c r="AP130" s="53">
        <f t="shared" si="149"/>
        <v>0</v>
      </c>
      <c r="AQ130" s="53">
        <f t="shared" si="149"/>
        <v>0</v>
      </c>
      <c r="AR130" s="53">
        <f t="shared" si="149"/>
        <v>0</v>
      </c>
      <c r="AS130" s="53">
        <f t="shared" si="149"/>
        <v>0</v>
      </c>
      <c r="AT130" s="53">
        <f t="shared" si="149"/>
        <v>0</v>
      </c>
      <c r="AU130" s="53">
        <f t="shared" si="149"/>
        <v>0</v>
      </c>
      <c r="AV130" s="53">
        <f t="shared" si="149"/>
        <v>0</v>
      </c>
      <c r="AW130" s="53">
        <f t="shared" si="149"/>
        <v>0</v>
      </c>
      <c r="AX130" s="53">
        <f t="shared" si="149"/>
        <v>0</v>
      </c>
      <c r="AY130" s="53">
        <f t="shared" si="149"/>
        <v>0</v>
      </c>
      <c r="AZ130" s="53">
        <f t="shared" si="149"/>
        <v>0</v>
      </c>
      <c r="BA130" s="53">
        <f t="shared" si="149"/>
        <v>0</v>
      </c>
      <c r="BB130" s="53">
        <f t="shared" si="149"/>
        <v>0</v>
      </c>
      <c r="BC130" s="53">
        <f t="shared" si="149"/>
        <v>0</v>
      </c>
      <c r="BD130" s="53">
        <f t="shared" si="149"/>
        <v>0</v>
      </c>
      <c r="BE130" s="53">
        <f t="shared" si="149"/>
        <v>0</v>
      </c>
      <c r="BF130" s="53">
        <f t="shared" si="149"/>
        <v>0</v>
      </c>
      <c r="BG130" s="53">
        <f t="shared" si="149"/>
        <v>0</v>
      </c>
      <c r="BH130" s="53">
        <f t="shared" si="149"/>
        <v>0</v>
      </c>
      <c r="BI130" s="53">
        <f t="shared" si="149"/>
        <v>0</v>
      </c>
      <c r="BJ130" s="53">
        <f t="shared" si="149"/>
        <v>0</v>
      </c>
      <c r="BK130" s="53">
        <f t="shared" si="149"/>
        <v>0</v>
      </c>
      <c r="BL130" s="53">
        <f t="shared" si="149"/>
        <v>0</v>
      </c>
      <c r="BM130" s="53">
        <f t="shared" si="149"/>
        <v>0</v>
      </c>
      <c r="BN130" s="53">
        <f t="shared" si="149"/>
        <v>0</v>
      </c>
      <c r="BO130" s="53">
        <f t="shared" si="149"/>
        <v>0</v>
      </c>
      <c r="BP130" s="53">
        <f t="shared" si="149"/>
        <v>0</v>
      </c>
      <c r="BQ130" s="53">
        <f t="shared" si="149"/>
        <v>0</v>
      </c>
      <c r="BR130" s="53">
        <f t="shared" si="149"/>
        <v>0</v>
      </c>
      <c r="BS130" s="53">
        <f t="shared" si="149"/>
        <v>0</v>
      </c>
    </row>
    <row r="131" spans="1:82" x14ac:dyDescent="0.25">
      <c r="N131" s="943">
        <f>N56+N60</f>
        <v>0</v>
      </c>
    </row>
    <row r="132" spans="1:82" x14ac:dyDescent="0.25">
      <c r="N132" s="944">
        <f>N15+N16+N33+SUM(N39:N51)+N57+N64+N65+N101+N102</f>
        <v>8350.7999401862908</v>
      </c>
    </row>
    <row r="133" spans="1:82" x14ac:dyDescent="0.25">
      <c r="N133" s="945">
        <f>N109</f>
        <v>0</v>
      </c>
    </row>
    <row r="134" spans="1:82" x14ac:dyDescent="0.25">
      <c r="N134" s="946">
        <f>N35+N55+N58+N59</f>
        <v>0</v>
      </c>
    </row>
    <row r="135" spans="1:82" x14ac:dyDescent="0.25">
      <c r="N135" s="947">
        <f>SUM(N67:N82)+N34</f>
        <v>0</v>
      </c>
    </row>
    <row r="136" spans="1:82" x14ac:dyDescent="0.25">
      <c r="N136" s="948">
        <f>SUM(N83:N99)-N96-N97</f>
        <v>29528.584600000006</v>
      </c>
    </row>
    <row r="137" spans="1:82" x14ac:dyDescent="0.25">
      <c r="N137" s="949"/>
    </row>
    <row r="138" spans="1:82" x14ac:dyDescent="0.25">
      <c r="N138" s="950">
        <f>N54+N105+N108</f>
        <v>26</v>
      </c>
    </row>
    <row r="141" spans="1:82" ht="18.75" x14ac:dyDescent="0.25">
      <c r="R141" s="285">
        <f>SUM(R13:R127)</f>
        <v>26725.670599999998</v>
      </c>
    </row>
  </sheetData>
  <conditionalFormatting sqref="R110:R126 R53 BV128:CD129 P127:BU128 P2:R52 P54:R60 R61:R66 P67:R109">
    <cfRule type="containsText" dxfId="398" priority="43" operator="containsText" text="Terminé">
      <formula>NOT(ISERROR(SEARCH("Terminé",P2)))</formula>
    </cfRule>
    <cfRule type="containsText" dxfId="397" priority="44" operator="containsText" text="En cours">
      <formula>NOT(ISERROR(SEARCH("En cours",P2)))</formula>
    </cfRule>
    <cfRule type="containsText" dxfId="396" priority="45" operator="containsText" text="A faire">
      <formula>NOT(ISERROR(SEARCH("A faire",P2)))</formula>
    </cfRule>
  </conditionalFormatting>
  <conditionalFormatting sqref="P53:Q53">
    <cfRule type="containsText" dxfId="395" priority="7" operator="containsText" text="Terminé">
      <formula>NOT(ISERROR(SEARCH("Terminé",P53)))</formula>
    </cfRule>
    <cfRule type="containsText" dxfId="394" priority="8" operator="containsText" text="En cours">
      <formula>NOT(ISERROR(SEARCH("En cours",P53)))</formula>
    </cfRule>
    <cfRule type="containsText" dxfId="393" priority="9" operator="containsText" text="A faire">
      <formula>NOT(ISERROR(SEARCH("A faire",P53)))</formula>
    </cfRule>
  </conditionalFormatting>
  <conditionalFormatting sqref="P110:Q126">
    <cfRule type="containsText" dxfId="392" priority="4" operator="containsText" text="Terminé">
      <formula>NOT(ISERROR(SEARCH("Terminé",P110)))</formula>
    </cfRule>
    <cfRule type="containsText" dxfId="391" priority="5" operator="containsText" text="En cours">
      <formula>NOT(ISERROR(SEARCH("En cours",P110)))</formula>
    </cfRule>
    <cfRule type="containsText" dxfId="390" priority="6" operator="containsText" text="A faire">
      <formula>NOT(ISERROR(SEARCH("A faire",P110)))</formula>
    </cfRule>
  </conditionalFormatting>
  <conditionalFormatting sqref="P61:Q66">
    <cfRule type="containsText" dxfId="389" priority="1" operator="containsText" text="Terminé">
      <formula>NOT(ISERROR(SEARCH("Terminé",P61)))</formula>
    </cfRule>
    <cfRule type="containsText" dxfId="388" priority="2" operator="containsText" text="En cours">
      <formula>NOT(ISERROR(SEARCH("En cours",P61)))</formula>
    </cfRule>
    <cfRule type="containsText" dxfId="387" priority="3" operator="containsText" text="A faire">
      <formula>NOT(ISERROR(SEARCH("A faire",P61)))</formula>
    </cfRule>
  </conditionalFormatting>
  <hyperlinks>
    <hyperlink ref="A2" location="'ADO-1'!A1" display="ADO-1"/>
    <hyperlink ref="A3" location="'ADO-2'!A1" display="ADO-2"/>
    <hyperlink ref="A4" location="'ADO-3'!A1" display="'ADO-3'!A1"/>
    <hyperlink ref="A5" location="'ADO-4'!A1" display="'ADO-4'!A1"/>
    <hyperlink ref="A6" location="'ADO-5'!A1" display="ADO-5"/>
    <hyperlink ref="A7" location="'ADO-6'!A1" display="ADO-6"/>
    <hyperlink ref="A13" location="'ADO-20'!A1" display="ADO-20"/>
    <hyperlink ref="A14:A21" location="'ADO-7'!A1" display="'ADO-7'!A1"/>
    <hyperlink ref="A14" location="'ADO-21'!A1" display="ADO-21"/>
    <hyperlink ref="A15" location="'ADO-22'!A1" display="ADO-22"/>
    <hyperlink ref="A16" location="'ADO-23'!A1" display="ADO-23"/>
    <hyperlink ref="A17" location="'ADO-24'!A1" display="ADO-24"/>
    <hyperlink ref="A18" location="'ADO-25'!A1" display="ADO-25"/>
    <hyperlink ref="A19" location="'ADO-26'!A1" display="ADO-26"/>
    <hyperlink ref="A20" location="'ADO-27'!A1" display="ADO-27"/>
    <hyperlink ref="A21" location="'ADO-28'!A1" display="ADO-28"/>
    <hyperlink ref="A31" location="'ADO-40'!A1" display="ADO-40"/>
    <hyperlink ref="A32" location="'ADO-41'!A1" display="ADO-41"/>
    <hyperlink ref="A33" location="'ADU-1'!A1" display="ADU-1"/>
    <hyperlink ref="A34" location="'ADU-2'!A1" display="'ADU-2'!A1"/>
    <hyperlink ref="A35" location="'ADU-3'!A1" display="ADU-3"/>
    <hyperlink ref="A36" location="'ADU-4'!A1" display="ADU-4"/>
    <hyperlink ref="A39" location="'ADU-7'!A1" display="ADU-7"/>
    <hyperlink ref="A42" location="'ADU-10'!A1" display="ADU-10"/>
    <hyperlink ref="A37" location="'ADU-5'!A1" display="ADU-5"/>
    <hyperlink ref="A40" location="'ADU-8'!A1" display="ADU-8"/>
    <hyperlink ref="A38" location="'ADU-6'!A1" display="ADU-6"/>
    <hyperlink ref="A41" location="'ADU-9'!A1" display="ADU-9"/>
    <hyperlink ref="A43" location="'ADU-11'!A1" display="ADU-11"/>
    <hyperlink ref="A44" location="'ADU-12'!A1" display="ADU-12"/>
    <hyperlink ref="A45" location="'ADU-13'!A1" display="ADU-13"/>
    <hyperlink ref="A46" location="'ADU-14'!A1" display="ADU-14"/>
    <hyperlink ref="A47" location="'ADU-15'!A1" display="ADU-15"/>
    <hyperlink ref="A48" location="'ADU-16'!A1" display="ADU-16"/>
    <hyperlink ref="A49" location="'ADU-17'!A1" display="ADU-17"/>
    <hyperlink ref="A50" location="'ADU-18'!A1" display="ADU-18"/>
    <hyperlink ref="A51" location="'ADU-19'!A1" display="ADU-19"/>
    <hyperlink ref="A52" location="'ADU-20'!A1" display="ADU-20"/>
    <hyperlink ref="A53" location="'ADU-21'!A1" display="ADU-21"/>
    <hyperlink ref="A54:A56" location="'ADU-21'!A1" display="'ADU-21'!A1"/>
    <hyperlink ref="A54" location="'ADU-22'!A1" display="ADU-22"/>
    <hyperlink ref="A55" location="'ADU-23'!A1" display="ADU-23"/>
    <hyperlink ref="A56" location="'ADU-24'!A1" display="ADU-24"/>
    <hyperlink ref="A67" location="'ADU-50'!A1" display="ADU-50"/>
    <hyperlink ref="A68" location="'ADU-51'!A1" display="ADU-51"/>
    <hyperlink ref="A69" location="'ADU-52'!A1" display="ADU-52"/>
    <hyperlink ref="A70" location="'ADU-53'!A1" display="ADU-53"/>
    <hyperlink ref="A71" location="'ADU-54'!A1" display="ADU-54"/>
    <hyperlink ref="A72" location="'ADU-55'!A1" display="ADU-55"/>
    <hyperlink ref="A73" location="'ADU-56'!A1" display="ADU-56"/>
    <hyperlink ref="A83" location="'ADU-70'!A1" display="ADU-70"/>
    <hyperlink ref="A84" location="'ADU-71'!A1" display="ADU-71"/>
    <hyperlink ref="A85" location="'ADU-72'!A1" display="ADU-72"/>
    <hyperlink ref="A86" location="'ADU-73'!A1" display="ADU-73"/>
    <hyperlink ref="A87" location="'ADU-74'!A1" display="ADU-74"/>
    <hyperlink ref="A88" location="'ADU-75'!A1" display="ADU-75"/>
    <hyperlink ref="A89" location="'ADU-76'!A1" display="ADU-76"/>
    <hyperlink ref="A91" location="'ADU-80'!A1" display="ADU-80"/>
    <hyperlink ref="A92" location="'ADU-81'!A1" display="ADU-81"/>
    <hyperlink ref="A93" location="'ADU-82'!A1" display="ADU-82"/>
    <hyperlink ref="A95" location="'ADU-90'!A1" display="ADU-90"/>
    <hyperlink ref="A96" location="'ADU-91'!A1" display="ADU-91"/>
    <hyperlink ref="A97" location="'ADU-92'!A1" display="ADU-92"/>
    <hyperlink ref="A101" location="'ADU-100'!A1" display="ADU-100"/>
    <hyperlink ref="A102" location="'ADU-101'!A1" display="ADU-101"/>
    <hyperlink ref="A103" location="'ADU-102'!A1" display="ADU-102"/>
    <hyperlink ref="A105" location="'ADU-121'!A1" display="ADU-121"/>
    <hyperlink ref="A106" location="'ADU-122'!A1" display="ADU-122"/>
    <hyperlink ref="A107" location="'ADU-123'!A1" display="ADU-123"/>
    <hyperlink ref="A108" location="'ADU-124'!A1" display="ADU-124"/>
    <hyperlink ref="A109" location="'ADU-140'!A1" display="ADU-140"/>
    <hyperlink ref="A110" location="'ADA-1'!A1" display="ADA-1"/>
    <hyperlink ref="A111" location="'ADA-2'!A1" display="ADA-2"/>
    <hyperlink ref="A112" location="'ADA-3'!A1" display="ADA-3"/>
    <hyperlink ref="A113" location="'ADA-4'!A1" display="ADA-4"/>
    <hyperlink ref="A114" location="'ADA-5'!A1" display="ADA-5"/>
    <hyperlink ref="A115" location="'ADA-6'!A1" display="ADA-6"/>
    <hyperlink ref="A116" location="'ADA-7'!A1" display="ADA-7"/>
    <hyperlink ref="A117" location="'ADA-8'!A1" display="ADA-8"/>
    <hyperlink ref="A118" location="'ADA-9'!A1" display="ADA-9"/>
    <hyperlink ref="A119" location="'ADA-10'!A1" display="ADA-10"/>
    <hyperlink ref="A120" location="'ADA-11'!A1" display="ADA-11"/>
    <hyperlink ref="A121" location="'ADA-12'!A1" display="ADA-12"/>
    <hyperlink ref="A122" location="'ADA-13'!A1" display="ADA-13"/>
    <hyperlink ref="A123" location="'ADA-20'!A1" display="ADA-20"/>
    <hyperlink ref="A124:A126" location="'ADA-14'!A1" display="ADA-14"/>
    <hyperlink ref="A124" location="'ADA-21'!A1" display="ADA-21"/>
    <hyperlink ref="A125" location="'ADA-22'!A1" display="ADA-22"/>
    <hyperlink ref="A126" location="'ADA-23'!A1" display="ADA-23"/>
    <hyperlink ref="A61" location="'ADU-30'!A1" display="ADU-30"/>
    <hyperlink ref="A62" location="'ADU-31'!A1" display="ADU-31"/>
    <hyperlink ref="A63" location="'ADU-32'!A1" display="ADU-32"/>
    <hyperlink ref="A64" location="'ADU-33'!A1" display="ADU-33"/>
    <hyperlink ref="A94" location="'ADU-83'!A1" display="ADU-83"/>
    <hyperlink ref="A90" location="'ADU-77'!A1" display="ADU-77"/>
    <hyperlink ref="A8" location="'ADO-7'!A1" display="ADO-7"/>
    <hyperlink ref="A9" location="'ADO-8'!A1" display="ADO-8"/>
    <hyperlink ref="A10" location="'ADO-9'!A1" display="ADO-9"/>
    <hyperlink ref="A22" location="'ADO-29'!A1" display="ADO-29"/>
    <hyperlink ref="A23" location="'ADO-30'!A1" display="ADO-30"/>
    <hyperlink ref="A24" location="'ADO-31'!A1" display="ADO-31"/>
    <hyperlink ref="A25" location="'ADO-32'!A1" display="ADO-32"/>
    <hyperlink ref="A26" location="'ADO-33'!A1" display="ADO-33"/>
    <hyperlink ref="A104" location="'ADU-103'!A1" display="ADU-103"/>
    <hyperlink ref="A57" location="'ADU-25'!A1" display="ADU-25"/>
    <hyperlink ref="A98" location="'ADU-93'!A1" display="ADU-93"/>
    <hyperlink ref="A99" location="'ADU-94'!A1" display="ADU-94"/>
    <hyperlink ref="A100" location="'ADU-95'!A1" display="ADU-95"/>
    <hyperlink ref="A76" location="'ADU-59'!A1" display="ADU-59"/>
    <hyperlink ref="A75" location="'ADU-58'!A1" display="ADU-58"/>
    <hyperlink ref="A74" location="'ADU-57'!A1" display="ADU-57"/>
    <hyperlink ref="A77" location="'ADU-60'!A1" display="ADU-60"/>
    <hyperlink ref="A11" location="'ADO-10'!A1" display="ADO-10"/>
    <hyperlink ref="A12" location="'ADO-11'!A1" display="ADO-11"/>
    <hyperlink ref="A27" location="'ADO-34'!A1" display="ADO-34"/>
    <hyperlink ref="A28" location="'ADO-35'!A1" display="ADO-35"/>
    <hyperlink ref="A78" location="'ADU-61'!A1" display="ADU-61"/>
    <hyperlink ref="A29" location="'ADO-36'!A1" display="ADO-36"/>
    <hyperlink ref="A30" location="'ADO-39'!A1" display="ADO-39"/>
    <hyperlink ref="A65" location="'ADU-34'!A1" display="ADU-34"/>
    <hyperlink ref="A66" location="'ADU-35'!A1" display="ADU-35"/>
    <hyperlink ref="A79" location="'ADU-62'!A1" display="ADU-62"/>
    <hyperlink ref="A80" location="'ADU-63'!A1" display="ADU-63"/>
    <hyperlink ref="A81" location="'ADU-64'!A1" display="ADU-64"/>
    <hyperlink ref="A82" location="'ADU-65'!A1" display="ADU-65"/>
    <hyperlink ref="A58" location="'ADU-26'!A1" display="ADU-26"/>
    <hyperlink ref="A59" location="'ADU-27'!A1" display="ADU-27"/>
    <hyperlink ref="A60" location="'ADU-28'!A1" display="ADU-28"/>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topLeftCell="A7"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208</v>
      </c>
      <c r="C2" s="1068"/>
      <c r="D2" s="1068"/>
      <c r="E2" s="1068"/>
      <c r="F2" s="7"/>
      <c r="G2" s="986" t="s">
        <v>751</v>
      </c>
      <c r="H2" s="986"/>
    </row>
    <row r="3" spans="1:28" ht="19.5" customHeight="1" x14ac:dyDescent="0.25">
      <c r="A3" s="579" t="s">
        <v>743</v>
      </c>
      <c r="B3" s="987" t="s">
        <v>457</v>
      </c>
      <c r="C3" s="987"/>
      <c r="D3" s="987"/>
      <c r="E3" s="987"/>
      <c r="F3" s="7"/>
      <c r="G3" s="986" t="s">
        <v>752</v>
      </c>
      <c r="H3" s="986"/>
    </row>
    <row r="4" spans="1:28" ht="19.5" customHeight="1" x14ac:dyDescent="0.25">
      <c r="A4" s="580" t="s">
        <v>292</v>
      </c>
      <c r="B4" s="996" t="s">
        <v>38</v>
      </c>
      <c r="C4" s="996"/>
      <c r="D4" s="996"/>
      <c r="E4" s="996"/>
      <c r="F4" s="7"/>
      <c r="G4" s="986" t="s">
        <v>753</v>
      </c>
      <c r="H4" s="986"/>
    </row>
    <row r="5" spans="1:28" ht="19.5" customHeight="1" x14ac:dyDescent="0.25">
      <c r="A5" s="580"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584"/>
      <c r="J7" s="584"/>
      <c r="Z7" s="581"/>
      <c r="AA7" s="582"/>
      <c r="AB7" s="357"/>
    </row>
    <row r="8" spans="1:28" ht="24" customHeight="1" x14ac:dyDescent="0.25">
      <c r="A8" s="589" t="s">
        <v>1</v>
      </c>
      <c r="B8" s="967" t="s">
        <v>1000</v>
      </c>
      <c r="C8" s="967"/>
      <c r="D8" s="967"/>
      <c r="E8" s="967"/>
      <c r="G8" s="997" t="s">
        <v>936</v>
      </c>
      <c r="Z8" s="1028" t="s">
        <v>611</v>
      </c>
      <c r="AA8" s="1029"/>
      <c r="AB8" s="357">
        <v>0.26819999999999999</v>
      </c>
    </row>
    <row r="9" spans="1:28" ht="31.5" customHeight="1" x14ac:dyDescent="0.25">
      <c r="A9" s="589" t="s">
        <v>0</v>
      </c>
      <c r="B9" s="967" t="s">
        <v>457</v>
      </c>
      <c r="C9" s="967"/>
      <c r="D9" s="967"/>
      <c r="E9" s="967"/>
      <c r="G9" s="997"/>
      <c r="Z9" s="1028" t="s">
        <v>612</v>
      </c>
      <c r="AA9" s="1029"/>
      <c r="AB9" s="357">
        <v>3.1300000000000001E-2</v>
      </c>
    </row>
    <row r="10" spans="1:28" ht="58.5" customHeight="1" x14ac:dyDescent="0.25">
      <c r="A10" s="589" t="s">
        <v>2</v>
      </c>
      <c r="B10" s="1034" t="s">
        <v>1112</v>
      </c>
      <c r="C10" s="1035"/>
      <c r="D10" s="1035"/>
      <c r="E10" s="1035"/>
      <c r="G10" s="997"/>
      <c r="H10" s="7"/>
      <c r="Z10" s="1028"/>
      <c r="AA10" s="1029"/>
      <c r="AB10" s="357"/>
    </row>
    <row r="11" spans="1:28" ht="15.75" x14ac:dyDescent="0.25">
      <c r="A11" s="589" t="s">
        <v>29</v>
      </c>
      <c r="B11" s="1034"/>
      <c r="C11" s="1035"/>
      <c r="D11" s="1035"/>
      <c r="E11" s="1035"/>
      <c r="G11" s="254"/>
      <c r="H11" s="131"/>
      <c r="Z11" s="1028" t="s">
        <v>613</v>
      </c>
      <c r="AA11" s="1029"/>
      <c r="AB11" s="357">
        <v>0.26819999999999999</v>
      </c>
    </row>
    <row r="12" spans="1:28" ht="30" customHeight="1" x14ac:dyDescent="0.25">
      <c r="A12" s="589" t="s">
        <v>14</v>
      </c>
      <c r="B12" s="1010" t="s">
        <v>38</v>
      </c>
      <c r="C12" s="1010"/>
      <c r="D12" s="1010"/>
      <c r="E12" s="1010"/>
      <c r="G12" s="254"/>
      <c r="H12" s="131"/>
      <c r="Z12" s="1028" t="s">
        <v>614</v>
      </c>
      <c r="AA12" s="1029"/>
      <c r="AB12" s="357">
        <v>1.18E-2</v>
      </c>
    </row>
    <row r="13" spans="1:28" ht="30" customHeight="1" x14ac:dyDescent="0.25">
      <c r="A13" s="589" t="s">
        <v>3</v>
      </c>
      <c r="B13" s="1010" t="s">
        <v>1026</v>
      </c>
      <c r="C13" s="1010"/>
      <c r="D13" s="1010"/>
      <c r="E13" s="1010"/>
      <c r="G13" s="256"/>
      <c r="H13" s="256">
        <f>'Objectifs CO2'!X50</f>
        <v>0</v>
      </c>
      <c r="I13" s="256">
        <f>'Objectifs CO2'!X68</f>
        <v>0</v>
      </c>
      <c r="J13" s="256">
        <f>'Objectifs CO2'!X86</f>
        <v>0</v>
      </c>
      <c r="K13" s="256">
        <f>'Objectifs CO2'!X104</f>
        <v>0</v>
      </c>
      <c r="L13" s="256">
        <f>'Objectifs CO2'!X122</f>
        <v>0</v>
      </c>
      <c r="M13" s="585" t="s">
        <v>564</v>
      </c>
      <c r="Z13" s="1028" t="s">
        <v>615</v>
      </c>
      <c r="AA13" s="1029"/>
      <c r="AB13" s="358">
        <f>AB15/0.55</f>
        <v>0.50363636363636366</v>
      </c>
    </row>
    <row r="14" spans="1:28" ht="30" customHeight="1" x14ac:dyDescent="0.25">
      <c r="A14" s="589" t="s">
        <v>15</v>
      </c>
      <c r="B14" s="1010"/>
      <c r="C14" s="1010"/>
      <c r="D14" s="1010"/>
      <c r="E14" s="1010"/>
      <c r="G14" s="256"/>
      <c r="H14" s="256">
        <f>'Objectifs CO2'!Z50</f>
        <v>0</v>
      </c>
      <c r="I14" s="256">
        <f>'Objectifs CO2'!Z68</f>
        <v>0</v>
      </c>
      <c r="J14" s="256">
        <f>'Objectifs CO2'!Z87</f>
        <v>0</v>
      </c>
      <c r="K14" s="256">
        <f>'Objectifs CO2'!Z105</f>
        <v>0</v>
      </c>
      <c r="L14" s="256">
        <f>'Objectifs CO2'!Z123</f>
        <v>0</v>
      </c>
      <c r="M14" s="585" t="s">
        <v>565</v>
      </c>
      <c r="Z14" s="1028" t="s">
        <v>616</v>
      </c>
      <c r="AA14" s="1029"/>
      <c r="AB14" s="357">
        <v>0.26819999999999999</v>
      </c>
    </row>
    <row r="15" spans="1:28" ht="30" customHeight="1" x14ac:dyDescent="0.25">
      <c r="A15" s="589" t="s">
        <v>4</v>
      </c>
      <c r="B15" s="1010">
        <v>2015</v>
      </c>
      <c r="C15" s="1010"/>
      <c r="D15" s="1010"/>
      <c r="E15" s="1010"/>
      <c r="Z15" s="1028" t="s">
        <v>578</v>
      </c>
      <c r="AA15" s="1029"/>
      <c r="AB15" s="357">
        <v>0.27700000000000002</v>
      </c>
    </row>
    <row r="16" spans="1:28" ht="30" customHeight="1" x14ac:dyDescent="0.25">
      <c r="A16" s="589" t="s">
        <v>5</v>
      </c>
      <c r="B16" s="1010">
        <v>2019</v>
      </c>
      <c r="C16" s="1010"/>
      <c r="D16" s="1010"/>
      <c r="E16" s="1010"/>
      <c r="G16" s="587" t="s">
        <v>203</v>
      </c>
      <c r="H16" s="587" t="s">
        <v>204</v>
      </c>
      <c r="I16" s="586" t="s">
        <v>471</v>
      </c>
      <c r="J16" s="586" t="s">
        <v>470</v>
      </c>
      <c r="K16" s="587" t="s">
        <v>118</v>
      </c>
      <c r="L16" s="587" t="s">
        <v>119</v>
      </c>
      <c r="Z16" s="1028" t="s">
        <v>579</v>
      </c>
      <c r="AA16" s="1029"/>
      <c r="AB16" s="357">
        <v>0.20269999999999999</v>
      </c>
    </row>
    <row r="17" spans="1:12" ht="30" customHeight="1" x14ac:dyDescent="0.25">
      <c r="A17" s="589" t="s">
        <v>6</v>
      </c>
      <c r="B17" s="1012">
        <v>20000</v>
      </c>
      <c r="C17" s="1012"/>
      <c r="D17" s="1012"/>
      <c r="E17" s="1012"/>
      <c r="G17" s="208">
        <f>SUM(G13:L13)</f>
        <v>0</v>
      </c>
      <c r="H17" s="208">
        <f>SUM(G14:L14)</f>
        <v>0</v>
      </c>
      <c r="I17" s="586">
        <v>0.2</v>
      </c>
      <c r="J17" s="586">
        <v>0.25</v>
      </c>
      <c r="K17" s="587">
        <f>AB8</f>
        <v>0.26819999999999999</v>
      </c>
      <c r="L17" s="587">
        <f>AB15</f>
        <v>0.27700000000000002</v>
      </c>
    </row>
    <row r="18" spans="1:12" ht="30" customHeight="1" x14ac:dyDescent="0.25">
      <c r="A18" s="589" t="s">
        <v>7</v>
      </c>
      <c r="B18" s="1012">
        <v>0</v>
      </c>
      <c r="C18" s="1012"/>
      <c r="D18" s="1012"/>
      <c r="E18" s="1012"/>
    </row>
    <row r="19" spans="1:12" ht="30" customHeight="1" x14ac:dyDescent="0.25">
      <c r="A19" s="99" t="s">
        <v>307</v>
      </c>
      <c r="B19" s="1039">
        <f>(G17*I17+H17*J17)*1000</f>
        <v>0</v>
      </c>
      <c r="C19" s="1040"/>
      <c r="D19" s="1040"/>
      <c r="E19" s="1040"/>
      <c r="G19" s="586" t="s">
        <v>121</v>
      </c>
      <c r="H19" s="586" t="s">
        <v>117</v>
      </c>
    </row>
    <row r="20" spans="1:12" ht="30" customHeight="1" x14ac:dyDescent="0.25">
      <c r="A20" s="96" t="s">
        <v>306</v>
      </c>
      <c r="B20" s="1041">
        <f>L17*H25</f>
        <v>0</v>
      </c>
      <c r="C20" s="1042"/>
      <c r="D20" s="1042"/>
      <c r="E20" s="1042"/>
      <c r="G20" s="586">
        <v>0.14000000000000001</v>
      </c>
      <c r="H20" s="586">
        <v>0.7</v>
      </c>
    </row>
    <row r="21" spans="1:12" ht="30" customHeight="1" x14ac:dyDescent="0.25">
      <c r="A21" s="589" t="s">
        <v>8</v>
      </c>
      <c r="B21" s="1000">
        <f>(G17*I17*G20+H17/100*J17*H20)*1000</f>
        <v>0</v>
      </c>
      <c r="C21" s="1000"/>
      <c r="D21" s="1000"/>
      <c r="E21" s="1000"/>
    </row>
    <row r="22" spans="1:12" ht="30" customHeight="1" x14ac:dyDescent="0.25">
      <c r="A22" s="589" t="s">
        <v>9</v>
      </c>
      <c r="B22" s="1000"/>
      <c r="C22" s="1000"/>
      <c r="D22" s="1000"/>
      <c r="E22" s="1000"/>
    </row>
    <row r="23" spans="1:12" ht="30" customHeight="1" x14ac:dyDescent="0.25">
      <c r="A23" s="589" t="s">
        <v>301</v>
      </c>
      <c r="B23" s="1016" t="e">
        <f>B17/(B21+B22)</f>
        <v>#DIV/0!</v>
      </c>
      <c r="C23" s="1016"/>
      <c r="D23" s="1016"/>
      <c r="E23" s="1016"/>
    </row>
    <row r="24" spans="1:12" ht="30" customHeight="1" x14ac:dyDescent="0.25">
      <c r="A24" s="589" t="s">
        <v>302</v>
      </c>
      <c r="B24" s="1017" t="e">
        <f>(B17-B18)/(B21+B22)</f>
        <v>#DIV/0!</v>
      </c>
      <c r="C24" s="1017"/>
      <c r="D24" s="1017"/>
      <c r="E24" s="1017"/>
    </row>
    <row r="25" spans="1:12" ht="30" customHeight="1" x14ac:dyDescent="0.25">
      <c r="A25" s="100" t="s">
        <v>305</v>
      </c>
      <c r="B25" s="1070">
        <f>G17*I17*L17+H17*J17*K17</f>
        <v>0</v>
      </c>
      <c r="C25" s="1070"/>
      <c r="D25" s="1070"/>
      <c r="E25" s="1070"/>
    </row>
    <row r="26" spans="1:12" ht="30" customHeight="1" x14ac:dyDescent="0.25">
      <c r="A26" s="101" t="s">
        <v>303</v>
      </c>
      <c r="B26" s="1058">
        <f>B25/'Objectifs CO2'!C7</f>
        <v>0</v>
      </c>
      <c r="C26" s="1058"/>
      <c r="D26" s="1058"/>
      <c r="E26" s="1058"/>
    </row>
    <row r="27" spans="1:12" ht="30" customHeight="1" x14ac:dyDescent="0.25">
      <c r="A27" s="101" t="s">
        <v>304</v>
      </c>
      <c r="B27" s="1056">
        <f>B25/'Objectifs CO2'!C4</f>
        <v>0</v>
      </c>
      <c r="C27" s="1057"/>
      <c r="D27" s="1057"/>
      <c r="E27" s="1057"/>
    </row>
    <row r="28" spans="1:12" ht="30" customHeight="1" x14ac:dyDescent="0.25">
      <c r="A28" s="101" t="s">
        <v>22</v>
      </c>
      <c r="B28" s="1010"/>
      <c r="C28" s="1010"/>
      <c r="D28" s="1010"/>
      <c r="E28" s="1010"/>
    </row>
    <row r="29" spans="1:12" ht="30" customHeight="1" x14ac:dyDescent="0.25">
      <c r="A29" s="101" t="s">
        <v>257</v>
      </c>
      <c r="B29" s="1011" t="s">
        <v>282</v>
      </c>
      <c r="C29" s="1011"/>
      <c r="D29" s="1011"/>
      <c r="E29" s="1011"/>
      <c r="F29" s="6" t="s">
        <v>264</v>
      </c>
    </row>
    <row r="31" spans="1:12" x14ac:dyDescent="0.25">
      <c r="A31" s="603" t="s">
        <v>1065</v>
      </c>
      <c r="B31" s="1003" t="s">
        <v>675</v>
      </c>
      <c r="C31" s="1003"/>
      <c r="D31" s="1003"/>
      <c r="E31" s="575" t="s">
        <v>676</v>
      </c>
    </row>
    <row r="32" spans="1:12"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77"/>
      <c r="E43" s="94" t="s">
        <v>730</v>
      </c>
    </row>
    <row r="44" spans="1:12" x14ac:dyDescent="0.25">
      <c r="A44" s="57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B44:D44"/>
    <mergeCell ref="G46:L46"/>
    <mergeCell ref="A47:A51"/>
    <mergeCell ref="B47:F47"/>
    <mergeCell ref="G47:L47"/>
    <mergeCell ref="B48:F48"/>
    <mergeCell ref="G48:L48"/>
    <mergeCell ref="B49:F49"/>
    <mergeCell ref="G49:L49"/>
    <mergeCell ref="B50:F50"/>
    <mergeCell ref="G50:L50"/>
    <mergeCell ref="B51:F51"/>
    <mergeCell ref="G51:L51"/>
    <mergeCell ref="B38:D38"/>
    <mergeCell ref="B39:D39"/>
    <mergeCell ref="B40:D40"/>
    <mergeCell ref="G40:I40"/>
    <mergeCell ref="B41:D41"/>
    <mergeCell ref="B42:D42"/>
    <mergeCell ref="B34:D34"/>
    <mergeCell ref="H34:I34"/>
    <mergeCell ref="B35:D35"/>
    <mergeCell ref="H35:I35"/>
    <mergeCell ref="B36:D36"/>
    <mergeCell ref="B37:D37"/>
    <mergeCell ref="B29:E29"/>
    <mergeCell ref="B31:D31"/>
    <mergeCell ref="B32:D32"/>
    <mergeCell ref="G32:I32"/>
    <mergeCell ref="B33:D33"/>
    <mergeCell ref="H33:I33"/>
    <mergeCell ref="B23:E23"/>
    <mergeCell ref="B24:E24"/>
    <mergeCell ref="B25:E25"/>
    <mergeCell ref="B26:E26"/>
    <mergeCell ref="B27:E27"/>
    <mergeCell ref="B28:E28"/>
    <mergeCell ref="B17:E17"/>
    <mergeCell ref="B18:E18"/>
    <mergeCell ref="B19:E19"/>
    <mergeCell ref="B20:E20"/>
    <mergeCell ref="B21:E21"/>
    <mergeCell ref="B22:E22"/>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200" priority="1" operator="containsText" text="Terminé">
      <formula>NOT(ISERROR(SEARCH("Terminé",B5)))</formula>
    </cfRule>
    <cfRule type="containsText" dxfId="199" priority="2" operator="containsText" text="En cours">
      <formula>NOT(ISERROR(SEARCH("En cours",B5)))</formula>
    </cfRule>
    <cfRule type="containsText" dxfId="19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69"/>
  <sheetViews>
    <sheetView topLeftCell="A3"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103</v>
      </c>
      <c r="C2" s="1068"/>
      <c r="D2" s="1068"/>
      <c r="E2" s="1068"/>
      <c r="F2" s="7"/>
      <c r="G2" s="986" t="s">
        <v>751</v>
      </c>
      <c r="H2" s="986"/>
    </row>
    <row r="3" spans="1:28" ht="19.5" customHeight="1" x14ac:dyDescent="0.25">
      <c r="A3" s="442" t="s">
        <v>743</v>
      </c>
      <c r="B3" s="987" t="s">
        <v>457</v>
      </c>
      <c r="C3" s="987"/>
      <c r="D3" s="987"/>
      <c r="E3" s="987"/>
      <c r="F3" s="7"/>
      <c r="G3" s="986" t="s">
        <v>752</v>
      </c>
      <c r="H3" s="986"/>
    </row>
    <row r="4" spans="1:28" ht="19.5" customHeight="1" x14ac:dyDescent="0.25">
      <c r="A4" s="443" t="s">
        <v>292</v>
      </c>
      <c r="B4" s="996" t="s">
        <v>37</v>
      </c>
      <c r="C4" s="996"/>
      <c r="D4" s="996"/>
      <c r="E4" s="996"/>
      <c r="F4" s="7"/>
      <c r="G4" s="986" t="s">
        <v>753</v>
      </c>
      <c r="H4" s="986"/>
    </row>
    <row r="5" spans="1:28" ht="19.5" customHeight="1" x14ac:dyDescent="0.25">
      <c r="A5" s="44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446"/>
      <c r="J7" s="446"/>
      <c r="Z7" s="444"/>
      <c r="AA7" s="445"/>
      <c r="AB7" s="357"/>
    </row>
    <row r="8" spans="1:28" ht="24" customHeight="1" x14ac:dyDescent="0.25">
      <c r="A8" s="451" t="s">
        <v>1</v>
      </c>
      <c r="B8" s="967" t="s">
        <v>83</v>
      </c>
      <c r="C8" s="967"/>
      <c r="D8" s="967"/>
      <c r="E8" s="967"/>
      <c r="G8" s="997" t="s">
        <v>936</v>
      </c>
      <c r="Z8" s="1028" t="s">
        <v>611</v>
      </c>
      <c r="AA8" s="1029"/>
      <c r="AB8" s="357">
        <v>0.26819999999999999</v>
      </c>
    </row>
    <row r="9" spans="1:28" ht="24" customHeight="1" x14ac:dyDescent="0.25">
      <c r="A9" s="451" t="s">
        <v>0</v>
      </c>
      <c r="B9" s="967" t="s">
        <v>1128</v>
      </c>
      <c r="C9" s="967"/>
      <c r="D9" s="967"/>
      <c r="E9" s="967"/>
      <c r="G9" s="997"/>
      <c r="Z9" s="1028" t="s">
        <v>612</v>
      </c>
      <c r="AA9" s="1029"/>
      <c r="AB9" s="357">
        <v>3.1300000000000001E-2</v>
      </c>
    </row>
    <row r="10" spans="1:28" ht="36.75" customHeight="1" x14ac:dyDescent="0.25">
      <c r="A10" s="451" t="s">
        <v>2</v>
      </c>
      <c r="B10" s="1034" t="s">
        <v>1275</v>
      </c>
      <c r="C10" s="1034"/>
      <c r="D10" s="1034"/>
      <c r="E10" s="1034"/>
      <c r="G10" s="997"/>
      <c r="H10" s="7"/>
      <c r="Z10" s="1028"/>
      <c r="AA10" s="1029"/>
      <c r="AB10" s="357"/>
    </row>
    <row r="11" spans="1:28" ht="35.25" customHeight="1" x14ac:dyDescent="0.25">
      <c r="A11" s="451" t="s">
        <v>29</v>
      </c>
      <c r="B11" s="1035" t="s">
        <v>1117</v>
      </c>
      <c r="C11" s="1035"/>
      <c r="D11" s="1035"/>
      <c r="E11" s="1035"/>
      <c r="G11" s="225">
        <f>SUM(J17:J30)</f>
        <v>64065</v>
      </c>
      <c r="H11" s="131" t="s">
        <v>521</v>
      </c>
      <c r="Z11" s="1028" t="s">
        <v>613</v>
      </c>
      <c r="AA11" s="1029"/>
      <c r="AB11" s="357">
        <v>0.26819999999999999</v>
      </c>
    </row>
    <row r="12" spans="1:28" ht="30" customHeight="1" x14ac:dyDescent="0.25">
      <c r="A12" s="451" t="s">
        <v>14</v>
      </c>
      <c r="B12" s="1010" t="s">
        <v>939</v>
      </c>
      <c r="C12" s="1010"/>
      <c r="D12" s="1010"/>
      <c r="E12" s="1010"/>
      <c r="G12" s="439">
        <f>SUM(K17:K30)</f>
        <v>49927.199999999997</v>
      </c>
      <c r="H12" s="185" t="s">
        <v>522</v>
      </c>
      <c r="J12" s="60" t="s">
        <v>142</v>
      </c>
      <c r="K12" s="60" t="s">
        <v>119</v>
      </c>
      <c r="Z12" s="1028" t="s">
        <v>614</v>
      </c>
      <c r="AA12" s="1029"/>
      <c r="AB12" s="357">
        <v>1.18E-2</v>
      </c>
    </row>
    <row r="13" spans="1:28" ht="30" customHeight="1" x14ac:dyDescent="0.25">
      <c r="A13" s="451" t="s">
        <v>3</v>
      </c>
      <c r="B13" s="1011" t="s">
        <v>943</v>
      </c>
      <c r="C13" s="1011"/>
      <c r="D13" s="1011"/>
      <c r="E13" s="1011"/>
      <c r="G13" s="439">
        <f>SUM(L17:L30)</f>
        <v>17474.54</v>
      </c>
      <c r="H13" s="439" t="s">
        <v>523</v>
      </c>
      <c r="J13" s="60">
        <v>0.18</v>
      </c>
      <c r="K13" s="60">
        <v>0.27700000000000002</v>
      </c>
      <c r="Z13" s="1028" t="s">
        <v>615</v>
      </c>
      <c r="AA13" s="1029"/>
      <c r="AB13" s="358">
        <f>AB15/0.55</f>
        <v>0.50363636363636366</v>
      </c>
    </row>
    <row r="14" spans="1:28" ht="30" customHeight="1" thickBot="1" x14ac:dyDescent="0.3">
      <c r="A14" s="451" t="s">
        <v>15</v>
      </c>
      <c r="B14" s="1010"/>
      <c r="C14" s="1010"/>
      <c r="D14" s="1010"/>
      <c r="E14" s="1010"/>
      <c r="Z14" s="1028" t="s">
        <v>616</v>
      </c>
      <c r="AA14" s="1029"/>
      <c r="AB14" s="357">
        <v>0.26819999999999999</v>
      </c>
    </row>
    <row r="15" spans="1:28" ht="30" customHeight="1" thickTop="1" x14ac:dyDescent="0.25">
      <c r="A15" s="451" t="s">
        <v>4</v>
      </c>
      <c r="B15" s="1010">
        <v>2019</v>
      </c>
      <c r="C15" s="1010"/>
      <c r="D15" s="1010"/>
      <c r="E15" s="1010"/>
      <c r="G15" s="1075" t="s">
        <v>936</v>
      </c>
      <c r="H15" s="1076"/>
      <c r="I15" s="1076"/>
      <c r="J15" s="1076"/>
      <c r="K15" s="1076"/>
      <c r="L15" s="1077"/>
      <c r="Z15" s="1028" t="s">
        <v>578</v>
      </c>
      <c r="AA15" s="1029"/>
      <c r="AB15" s="357">
        <v>0.27700000000000002</v>
      </c>
    </row>
    <row r="16" spans="1:28" ht="30" customHeight="1" x14ac:dyDescent="0.25">
      <c r="A16" s="451" t="s">
        <v>5</v>
      </c>
      <c r="B16" s="1010">
        <v>2021</v>
      </c>
      <c r="C16" s="1010"/>
      <c r="D16" s="1010"/>
      <c r="E16" s="1010"/>
      <c r="G16" s="246" t="s">
        <v>517</v>
      </c>
      <c r="H16" s="247" t="s">
        <v>518</v>
      </c>
      <c r="I16" s="247" t="s">
        <v>519</v>
      </c>
      <c r="J16" s="249" t="s">
        <v>524</v>
      </c>
      <c r="K16" s="247" t="s">
        <v>520</v>
      </c>
      <c r="L16" s="248" t="s">
        <v>200</v>
      </c>
      <c r="Z16" s="1028" t="s">
        <v>579</v>
      </c>
      <c r="AA16" s="1029"/>
      <c r="AB16" s="357">
        <v>0.20269999999999999</v>
      </c>
    </row>
    <row r="17" spans="1:31" ht="30" customHeight="1" x14ac:dyDescent="0.25">
      <c r="A17" s="451" t="s">
        <v>6</v>
      </c>
      <c r="B17" s="1000">
        <f>G12</f>
        <v>49927.199999999997</v>
      </c>
      <c r="C17" s="1000"/>
      <c r="D17" s="1000"/>
      <c r="E17" s="1000"/>
      <c r="G17" s="238" t="s">
        <v>1011</v>
      </c>
      <c r="H17" s="237">
        <v>89082</v>
      </c>
      <c r="I17" s="234">
        <f>H17*0.5</f>
        <v>44541</v>
      </c>
      <c r="J17" s="214">
        <f>H17-I17</f>
        <v>44541</v>
      </c>
      <c r="K17" s="234">
        <v>19927.2</v>
      </c>
      <c r="L17" s="239">
        <v>6974.54</v>
      </c>
    </row>
    <row r="18" spans="1:31" ht="30" customHeight="1" x14ac:dyDescent="0.25">
      <c r="A18" s="451" t="s">
        <v>7</v>
      </c>
      <c r="B18" s="1000">
        <f>SUM(G13:L13)</f>
        <v>17474.996999999999</v>
      </c>
      <c r="C18" s="1000"/>
      <c r="D18" s="1000"/>
      <c r="E18" s="1000"/>
      <c r="G18" s="238" t="s">
        <v>1056</v>
      </c>
      <c r="H18" s="237">
        <v>3166</v>
      </c>
      <c r="I18" s="234">
        <f>H18*0.5</f>
        <v>1583</v>
      </c>
      <c r="J18" s="214">
        <f>H18-I18</f>
        <v>1583</v>
      </c>
      <c r="K18" s="234">
        <v>10000</v>
      </c>
      <c r="L18" s="239">
        <f>K18*0.35</f>
        <v>3500</v>
      </c>
    </row>
    <row r="19" spans="1:31" ht="30" customHeight="1" x14ac:dyDescent="0.25">
      <c r="A19" s="99" t="s">
        <v>307</v>
      </c>
      <c r="B19" s="1039">
        <f>G11</f>
        <v>64065</v>
      </c>
      <c r="C19" s="1040"/>
      <c r="D19" s="1040"/>
      <c r="E19" s="1040"/>
      <c r="F19" s="33"/>
      <c r="G19" s="240" t="s">
        <v>1274</v>
      </c>
      <c r="H19" s="237">
        <v>35882</v>
      </c>
      <c r="I19" s="234">
        <f>H19*0.5</f>
        <v>17941</v>
      </c>
      <c r="J19" s="214">
        <f>H19-I19</f>
        <v>17941</v>
      </c>
      <c r="K19" s="234">
        <v>20000</v>
      </c>
      <c r="L19" s="239">
        <f>K19*0.35</f>
        <v>7000</v>
      </c>
    </row>
    <row r="20" spans="1:31" ht="30" customHeight="1" x14ac:dyDescent="0.25">
      <c r="A20" s="96" t="s">
        <v>306</v>
      </c>
      <c r="B20" s="1041"/>
      <c r="C20" s="1042"/>
      <c r="D20" s="1042"/>
      <c r="E20" s="1042"/>
      <c r="G20" s="238"/>
      <c r="H20" s="237"/>
      <c r="I20" s="234"/>
      <c r="J20" s="214"/>
      <c r="K20" s="234"/>
      <c r="L20" s="239"/>
    </row>
    <row r="21" spans="1:31" ht="30" customHeight="1" x14ac:dyDescent="0.25">
      <c r="A21" s="451" t="s">
        <v>8</v>
      </c>
      <c r="B21" s="1000">
        <f>B19*J13</f>
        <v>11531.699999999999</v>
      </c>
      <c r="C21" s="1000"/>
      <c r="D21" s="1000"/>
      <c r="E21" s="1000"/>
      <c r="G21" s="238"/>
      <c r="H21" s="237"/>
      <c r="I21" s="234"/>
      <c r="J21" s="214"/>
      <c r="K21" s="234"/>
      <c r="L21" s="239"/>
    </row>
    <row r="22" spans="1:31" ht="30" customHeight="1" x14ac:dyDescent="0.25">
      <c r="A22" s="451" t="s">
        <v>9</v>
      </c>
      <c r="B22" s="1000">
        <f>B20/1000*L11*4</f>
        <v>0</v>
      </c>
      <c r="C22" s="1000"/>
      <c r="D22" s="1000"/>
      <c r="E22" s="1000"/>
      <c r="G22" s="238"/>
      <c r="H22" s="237"/>
      <c r="I22" s="234"/>
      <c r="J22" s="214"/>
      <c r="K22" s="234"/>
      <c r="L22" s="239"/>
    </row>
    <row r="23" spans="1:31" ht="30" customHeight="1" x14ac:dyDescent="0.25">
      <c r="A23" s="451" t="s">
        <v>301</v>
      </c>
      <c r="B23" s="1016">
        <f>B17/(B21+B22)</f>
        <v>4.3295611228179718</v>
      </c>
      <c r="C23" s="1016"/>
      <c r="D23" s="1016"/>
      <c r="E23" s="1016"/>
      <c r="G23" s="238"/>
      <c r="H23" s="237"/>
      <c r="I23" s="234"/>
      <c r="J23" s="214"/>
      <c r="K23" s="234"/>
      <c r="L23" s="239"/>
    </row>
    <row r="24" spans="1:31" ht="30" customHeight="1" x14ac:dyDescent="0.25">
      <c r="A24" s="451" t="s">
        <v>302</v>
      </c>
      <c r="B24" s="1017">
        <f>(B17-B18)/(B21+B22)</f>
        <v>2.8141733655922372</v>
      </c>
      <c r="C24" s="1017"/>
      <c r="D24" s="1017"/>
      <c r="E24" s="1017"/>
      <c r="G24" s="238"/>
      <c r="H24" s="237"/>
      <c r="I24" s="234"/>
      <c r="J24" s="214"/>
      <c r="K24" s="234"/>
      <c r="L24" s="239"/>
    </row>
    <row r="25" spans="1:31" ht="30" customHeight="1" x14ac:dyDescent="0.25">
      <c r="A25" s="100" t="s">
        <v>305</v>
      </c>
      <c r="B25" s="1070">
        <f>B19/1000*K13</f>
        <v>17.746005</v>
      </c>
      <c r="C25" s="1070"/>
      <c r="D25" s="1070"/>
      <c r="E25" s="1070"/>
      <c r="G25" s="238"/>
      <c r="H25" s="237"/>
      <c r="I25" s="234"/>
      <c r="J25" s="214"/>
      <c r="K25" s="234"/>
      <c r="L25" s="239"/>
    </row>
    <row r="26" spans="1:31" ht="30" customHeight="1" x14ac:dyDescent="0.25">
      <c r="A26" s="101" t="s">
        <v>303</v>
      </c>
      <c r="B26" s="1071">
        <f>B25/'Objectifs CO2'!C6</f>
        <v>1.6369555771048223E-2</v>
      </c>
      <c r="C26" s="1071"/>
      <c r="D26" s="1071"/>
      <c r="E26" s="1071"/>
      <c r="G26" s="238"/>
      <c r="H26" s="237"/>
      <c r="I26" s="234"/>
      <c r="J26" s="214"/>
      <c r="K26" s="234"/>
      <c r="L26" s="239"/>
    </row>
    <row r="27" spans="1:31" ht="30" customHeight="1" x14ac:dyDescent="0.25">
      <c r="A27" s="101" t="s">
        <v>304</v>
      </c>
      <c r="B27" s="1056">
        <f>B25/'Objectifs CO2'!C4</f>
        <v>8.1847778855241116E-4</v>
      </c>
      <c r="C27" s="1057"/>
      <c r="D27" s="1057"/>
      <c r="E27" s="1057"/>
      <c r="G27" s="241"/>
      <c r="H27" s="237"/>
      <c r="I27" s="234"/>
      <c r="J27" s="214"/>
      <c r="K27" s="234"/>
      <c r="L27" s="239"/>
    </row>
    <row r="28" spans="1:31" ht="30" customHeight="1" x14ac:dyDescent="0.25">
      <c r="A28" s="101" t="s">
        <v>22</v>
      </c>
      <c r="B28" s="999" t="s">
        <v>10</v>
      </c>
      <c r="C28" s="999"/>
      <c r="D28" s="999"/>
      <c r="E28" s="999"/>
      <c r="G28" s="242"/>
      <c r="H28" s="234"/>
      <c r="I28" s="234"/>
      <c r="J28" s="214"/>
      <c r="K28" s="234"/>
      <c r="L28" s="239"/>
    </row>
    <row r="29" spans="1:31" ht="30" customHeight="1" x14ac:dyDescent="0.25">
      <c r="A29" s="101" t="s">
        <v>257</v>
      </c>
      <c r="B29" s="999"/>
      <c r="C29" s="999"/>
      <c r="D29" s="999"/>
      <c r="E29" s="999"/>
      <c r="G29" s="242"/>
      <c r="H29" s="234"/>
      <c r="I29" s="234"/>
      <c r="J29" s="214"/>
      <c r="K29" s="234"/>
      <c r="L29" s="239"/>
    </row>
    <row r="30" spans="1:31" ht="15.75" thickBot="1" x14ac:dyDescent="0.3">
      <c r="G30" s="243"/>
      <c r="H30" s="244"/>
      <c r="I30" s="244"/>
      <c r="J30" s="250"/>
      <c r="K30" s="244"/>
      <c r="L30" s="245"/>
    </row>
    <row r="31" spans="1:31" ht="15.75" thickTop="1" x14ac:dyDescent="0.25">
      <c r="A31" s="603" t="s">
        <v>1065</v>
      </c>
      <c r="B31" s="1003" t="s">
        <v>675</v>
      </c>
      <c r="C31" s="1003"/>
      <c r="D31" s="1003"/>
      <c r="E31" s="439" t="s">
        <v>676</v>
      </c>
      <c r="J31" s="231"/>
      <c r="K31" s="231"/>
      <c r="L31" s="231"/>
    </row>
    <row r="32" spans="1:31" x14ac:dyDescent="0.25">
      <c r="A32" s="377"/>
      <c r="B32" s="992" t="s">
        <v>677</v>
      </c>
      <c r="C32" s="992"/>
      <c r="D32" s="992"/>
      <c r="E32" s="374"/>
      <c r="G32" s="1004" t="s">
        <v>676</v>
      </c>
      <c r="H32" s="1004"/>
      <c r="I32" s="1004"/>
      <c r="J32" s="231"/>
      <c r="K32" s="231"/>
      <c r="L32" s="231"/>
      <c r="M32" s="231"/>
      <c r="N32" s="231"/>
      <c r="O32" s="231"/>
      <c r="P32" s="231"/>
      <c r="Q32" s="231"/>
      <c r="R32" s="231"/>
      <c r="S32" s="231"/>
      <c r="T32" s="231"/>
      <c r="U32" s="231"/>
      <c r="V32" s="231"/>
      <c r="W32" s="231"/>
      <c r="X32" s="231"/>
      <c r="Y32" s="231"/>
      <c r="Z32" s="231"/>
      <c r="AA32" s="231"/>
      <c r="AB32" s="231"/>
      <c r="AC32" s="231"/>
      <c r="AD32" s="231"/>
      <c r="AE32" s="231"/>
    </row>
    <row r="33" spans="1:31" x14ac:dyDescent="0.25">
      <c r="A33" s="377"/>
      <c r="B33" s="992" t="s">
        <v>678</v>
      </c>
      <c r="C33" s="992"/>
      <c r="D33" s="992"/>
      <c r="E33" s="374"/>
      <c r="G33" s="375">
        <v>3</v>
      </c>
      <c r="H33" s="1004" t="s">
        <v>679</v>
      </c>
      <c r="I33" s="1004"/>
    </row>
    <row r="34" spans="1:31" x14ac:dyDescent="0.25">
      <c r="A34" s="377"/>
      <c r="B34" s="992" t="s">
        <v>680</v>
      </c>
      <c r="C34" s="992"/>
      <c r="D34" s="992"/>
      <c r="E34" s="374"/>
      <c r="G34" s="375">
        <v>2</v>
      </c>
      <c r="H34" s="1004" t="s">
        <v>681</v>
      </c>
      <c r="I34" s="1004"/>
    </row>
    <row r="35" spans="1:31" x14ac:dyDescent="0.25">
      <c r="A35" s="377"/>
      <c r="B35" s="992" t="s">
        <v>682</v>
      </c>
      <c r="C35" s="992"/>
      <c r="D35" s="992"/>
      <c r="E35" s="374"/>
      <c r="G35" s="375">
        <v>1</v>
      </c>
      <c r="H35" s="1004" t="s">
        <v>683</v>
      </c>
      <c r="I35" s="1004"/>
    </row>
    <row r="36" spans="1:31" x14ac:dyDescent="0.25">
      <c r="A36" s="377"/>
      <c r="B36" s="992" t="s">
        <v>684</v>
      </c>
      <c r="C36" s="992"/>
      <c r="D36" s="992"/>
      <c r="E36" s="374"/>
      <c r="S36" s="227" t="s">
        <v>508</v>
      </c>
      <c r="T36" s="228"/>
      <c r="V36" s="227" t="s">
        <v>509</v>
      </c>
      <c r="Z36" s="227" t="s">
        <v>510</v>
      </c>
      <c r="AA36" s="228"/>
      <c r="AD36" s="227" t="s">
        <v>936</v>
      </c>
      <c r="AE36" s="228"/>
    </row>
    <row r="37" spans="1:31" x14ac:dyDescent="0.25">
      <c r="A37" s="377"/>
      <c r="B37" s="992" t="s">
        <v>685</v>
      </c>
      <c r="C37" s="992"/>
      <c r="D37" s="992"/>
      <c r="E37" s="374"/>
      <c r="S37" s="230" t="s">
        <v>515</v>
      </c>
      <c r="T37" s="230">
        <v>67</v>
      </c>
      <c r="U37" s="231"/>
      <c r="V37" s="229"/>
      <c r="W37" s="231"/>
      <c r="X37" s="231"/>
      <c r="Y37" s="231"/>
      <c r="Z37" s="229"/>
      <c r="AA37" s="230"/>
      <c r="AB37" s="231"/>
      <c r="AC37" s="231"/>
      <c r="AD37" s="229"/>
      <c r="AE37" s="230"/>
    </row>
    <row r="38" spans="1:31" x14ac:dyDescent="0.25">
      <c r="A38" s="377"/>
      <c r="B38" s="992" t="s">
        <v>686</v>
      </c>
      <c r="C38" s="992"/>
      <c r="D38" s="992"/>
      <c r="E38" s="374"/>
      <c r="S38" s="230" t="s">
        <v>516</v>
      </c>
      <c r="T38" s="230">
        <v>85</v>
      </c>
      <c r="U38" s="231"/>
      <c r="V38" s="229"/>
      <c r="W38" s="231"/>
      <c r="X38" s="231"/>
      <c r="Y38" s="231"/>
      <c r="Z38" s="229"/>
      <c r="AA38" s="230"/>
      <c r="AB38" s="231"/>
      <c r="AC38" s="231"/>
      <c r="AD38" s="229"/>
      <c r="AE38" s="230"/>
    </row>
    <row r="39" spans="1:31" x14ac:dyDescent="0.25">
      <c r="A39" s="377"/>
      <c r="B39" s="992" t="s">
        <v>687</v>
      </c>
      <c r="C39" s="992"/>
      <c r="D39" s="992"/>
      <c r="E39" s="374"/>
      <c r="S39" s="232"/>
      <c r="T39" s="232"/>
      <c r="U39" s="231"/>
      <c r="V39" s="229"/>
      <c r="W39" s="231"/>
      <c r="X39" s="231"/>
      <c r="Y39" s="231"/>
      <c r="Z39" s="232"/>
      <c r="AA39" s="232"/>
      <c r="AB39" s="231"/>
      <c r="AC39" s="231"/>
      <c r="AD39" s="229"/>
      <c r="AE39" s="230"/>
    </row>
    <row r="40" spans="1:31" x14ac:dyDescent="0.25">
      <c r="A40" s="377"/>
      <c r="B40" s="992" t="s">
        <v>688</v>
      </c>
      <c r="C40" s="992"/>
      <c r="D40" s="992"/>
      <c r="E40" s="374"/>
      <c r="G40" s="1005" t="s">
        <v>689</v>
      </c>
      <c r="H40" s="1005"/>
      <c r="I40" s="1005"/>
      <c r="S40" s="232"/>
      <c r="T40" s="232"/>
      <c r="U40" s="231"/>
      <c r="V40" s="229"/>
      <c r="W40" s="231"/>
      <c r="X40" s="231"/>
      <c r="Y40" s="231"/>
      <c r="Z40" s="232"/>
      <c r="AA40" s="232"/>
      <c r="AB40" s="231"/>
      <c r="AC40" s="231"/>
      <c r="AD40" s="229"/>
      <c r="AE40" s="230"/>
    </row>
    <row r="41" spans="1:31" x14ac:dyDescent="0.25">
      <c r="A41" s="377"/>
      <c r="B41" s="992" t="s">
        <v>843</v>
      </c>
      <c r="C41" s="992"/>
      <c r="D41" s="992"/>
      <c r="E41" s="374"/>
      <c r="G41" s="377" t="s">
        <v>690</v>
      </c>
      <c r="H41" s="378" t="s">
        <v>691</v>
      </c>
      <c r="I41" s="377" t="s">
        <v>692</v>
      </c>
      <c r="S41" s="232"/>
      <c r="T41" s="232"/>
      <c r="U41" s="231"/>
      <c r="V41" s="232"/>
      <c r="W41" s="231"/>
      <c r="X41" s="231"/>
      <c r="Y41" s="231"/>
      <c r="Z41" s="232"/>
      <c r="AA41" s="232"/>
      <c r="AB41" s="231"/>
      <c r="AC41" s="231"/>
      <c r="AD41" s="233"/>
      <c r="AE41" s="232"/>
    </row>
    <row r="42" spans="1:31" x14ac:dyDescent="0.25">
      <c r="A42" s="377"/>
      <c r="B42" s="988" t="s">
        <v>247</v>
      </c>
      <c r="C42" s="988"/>
      <c r="D42" s="988"/>
      <c r="E42" s="376">
        <f>SUM(E32:E40)</f>
        <v>0</v>
      </c>
      <c r="G42" s="377" t="s">
        <v>693</v>
      </c>
      <c r="H42" s="377" t="s">
        <v>694</v>
      </c>
      <c r="I42" s="377" t="s">
        <v>695</v>
      </c>
      <c r="S42" s="232"/>
      <c r="T42" s="232"/>
      <c r="U42" s="231"/>
      <c r="V42" s="232"/>
      <c r="W42" s="231"/>
      <c r="X42" s="231"/>
      <c r="Y42" s="231"/>
      <c r="Z42" s="232"/>
      <c r="AA42" s="232"/>
      <c r="AB42" s="231"/>
      <c r="AC42" s="231"/>
      <c r="AD42" s="233"/>
      <c r="AE42" s="232"/>
    </row>
    <row r="43" spans="1:31" x14ac:dyDescent="0.25">
      <c r="A43" s="497"/>
      <c r="E43" s="94" t="s">
        <v>730</v>
      </c>
      <c r="S43" s="234"/>
      <c r="T43" s="234"/>
      <c r="U43" s="231"/>
      <c r="V43" s="234"/>
      <c r="W43" s="231"/>
      <c r="X43" s="231"/>
      <c r="Y43" s="231"/>
      <c r="Z43" s="234"/>
      <c r="AA43" s="234"/>
      <c r="AB43" s="231"/>
      <c r="AC43" s="231"/>
      <c r="AD43" s="235"/>
      <c r="AE43" s="234"/>
    </row>
    <row r="44" spans="1:31" x14ac:dyDescent="0.25">
      <c r="A44" s="497"/>
      <c r="B44" s="989" t="s">
        <v>696</v>
      </c>
      <c r="C44" s="990"/>
      <c r="D44" s="991"/>
      <c r="E44" s="267">
        <v>1</v>
      </c>
      <c r="G44" s="377">
        <v>1</v>
      </c>
      <c r="H44" s="377" t="s">
        <v>697</v>
      </c>
      <c r="S44" s="234"/>
      <c r="T44" s="234"/>
      <c r="U44" s="231"/>
      <c r="V44" s="234"/>
      <c r="W44" s="231"/>
      <c r="X44" s="231"/>
      <c r="Y44" s="231"/>
      <c r="Z44" s="234"/>
      <c r="AA44" s="234"/>
      <c r="AB44" s="231"/>
      <c r="AC44" s="231"/>
      <c r="AD44" s="235"/>
      <c r="AE44" s="234"/>
    </row>
    <row r="45" spans="1:31" x14ac:dyDescent="0.25">
      <c r="G45" s="377">
        <v>0</v>
      </c>
      <c r="H45" s="377" t="s">
        <v>698</v>
      </c>
      <c r="S45" s="234"/>
      <c r="T45" s="234"/>
      <c r="U45" s="231"/>
      <c r="V45" s="234"/>
      <c r="W45" s="231"/>
      <c r="X45" s="231"/>
      <c r="Y45" s="231"/>
      <c r="Z45" s="234"/>
      <c r="AA45" s="234"/>
      <c r="AB45" s="231"/>
      <c r="AC45" s="231"/>
      <c r="AD45" s="235"/>
      <c r="AE45" s="234"/>
    </row>
    <row r="46" spans="1:31" x14ac:dyDescent="0.25">
      <c r="G46" s="1022" t="s">
        <v>965</v>
      </c>
      <c r="H46" s="1022"/>
      <c r="I46" s="1022"/>
      <c r="J46" s="1022"/>
      <c r="K46" s="1022"/>
      <c r="L46" s="1022"/>
      <c r="S46" s="234"/>
      <c r="T46" s="234"/>
      <c r="U46" s="231"/>
      <c r="V46" s="234"/>
      <c r="W46" s="231"/>
      <c r="X46" s="231"/>
      <c r="Y46" s="231"/>
      <c r="Z46" s="234"/>
      <c r="AA46" s="234"/>
      <c r="AB46" s="231"/>
      <c r="AC46" s="231"/>
      <c r="AD46" s="235"/>
      <c r="AE46" s="234"/>
    </row>
    <row r="47" spans="1:31" x14ac:dyDescent="0.25">
      <c r="A47" s="959" t="s">
        <v>966</v>
      </c>
      <c r="B47" s="1022"/>
      <c r="C47" s="1022"/>
      <c r="D47" s="1022"/>
      <c r="E47" s="1022"/>
      <c r="F47" s="1022"/>
      <c r="G47" s="1022"/>
      <c r="H47" s="1022"/>
      <c r="I47" s="1022"/>
      <c r="J47" s="1022"/>
      <c r="K47" s="1022"/>
      <c r="L47" s="1022"/>
      <c r="S47" s="234"/>
      <c r="T47" s="234"/>
      <c r="U47" s="231"/>
      <c r="V47" s="234"/>
      <c r="W47" s="231"/>
      <c r="X47" s="231"/>
      <c r="Y47" s="231"/>
      <c r="Z47" s="234"/>
      <c r="AA47" s="234"/>
      <c r="AB47" s="231"/>
      <c r="AC47" s="231"/>
      <c r="AD47" s="235"/>
      <c r="AE47" s="234"/>
    </row>
    <row r="48" spans="1:31" x14ac:dyDescent="0.25">
      <c r="A48" s="959"/>
      <c r="B48" s="1022"/>
      <c r="C48" s="1022"/>
      <c r="D48" s="1022"/>
      <c r="E48" s="1022"/>
      <c r="F48" s="1022"/>
      <c r="G48" s="1022"/>
      <c r="H48" s="1022"/>
      <c r="I48" s="1022"/>
      <c r="J48" s="1022"/>
      <c r="K48" s="1022"/>
      <c r="L48" s="1022"/>
      <c r="S48" s="234"/>
      <c r="T48" s="234"/>
      <c r="U48" s="231"/>
      <c r="V48" s="234"/>
      <c r="W48" s="231"/>
      <c r="X48" s="231"/>
      <c r="Y48" s="231"/>
      <c r="Z48" s="234"/>
      <c r="AA48" s="234"/>
      <c r="AB48" s="231"/>
      <c r="AC48" s="231"/>
      <c r="AD48" s="235"/>
      <c r="AE48" s="234"/>
    </row>
    <row r="49" spans="1:31" x14ac:dyDescent="0.25">
      <c r="A49" s="959"/>
      <c r="B49" s="1022"/>
      <c r="C49" s="1022"/>
      <c r="D49" s="1022"/>
      <c r="E49" s="1022"/>
      <c r="F49" s="1022"/>
      <c r="G49" s="1022"/>
      <c r="H49" s="1022"/>
      <c r="I49" s="1022"/>
      <c r="J49" s="1022"/>
      <c r="K49" s="1022"/>
      <c r="L49" s="1022"/>
      <c r="S49" s="234"/>
      <c r="T49" s="234"/>
      <c r="U49" s="231"/>
      <c r="V49" s="234"/>
      <c r="W49" s="231"/>
      <c r="X49" s="231"/>
      <c r="Y49" s="231"/>
      <c r="Z49" s="234"/>
      <c r="AA49" s="234"/>
      <c r="AB49" s="231"/>
      <c r="AC49" s="231"/>
      <c r="AD49" s="235"/>
      <c r="AE49" s="234"/>
    </row>
    <row r="50" spans="1:31" x14ac:dyDescent="0.25">
      <c r="A50" s="959"/>
      <c r="B50" s="1022"/>
      <c r="C50" s="1022"/>
      <c r="D50" s="1022"/>
      <c r="E50" s="1022"/>
      <c r="F50" s="1022"/>
      <c r="G50" s="1022"/>
      <c r="H50" s="1022"/>
      <c r="I50" s="1022"/>
      <c r="J50" s="1022"/>
      <c r="K50" s="1022"/>
      <c r="L50" s="1022"/>
      <c r="S50" s="234"/>
      <c r="T50" s="234"/>
      <c r="U50" s="231"/>
      <c r="V50" s="234"/>
      <c r="W50" s="231"/>
      <c r="X50" s="231"/>
      <c r="Y50" s="231"/>
      <c r="Z50" s="234"/>
      <c r="AA50" s="234"/>
      <c r="AB50" s="231"/>
      <c r="AC50" s="231"/>
      <c r="AD50" s="235"/>
      <c r="AE50" s="234"/>
    </row>
    <row r="51" spans="1:31" x14ac:dyDescent="0.25">
      <c r="A51" s="959"/>
      <c r="B51" s="1022"/>
      <c r="C51" s="1022"/>
      <c r="D51" s="1022"/>
      <c r="E51" s="1022"/>
      <c r="F51" s="1022"/>
      <c r="G51" s="1022"/>
      <c r="H51" s="1022"/>
      <c r="I51" s="1022"/>
      <c r="J51" s="1022"/>
      <c r="K51" s="1022"/>
      <c r="L51" s="1022"/>
      <c r="S51" s="234"/>
      <c r="T51" s="234"/>
      <c r="U51" s="231"/>
      <c r="V51" s="234"/>
      <c r="W51" s="231"/>
      <c r="X51" s="231"/>
      <c r="Y51" s="231"/>
      <c r="Z51" s="234"/>
      <c r="AA51" s="234"/>
      <c r="AB51" s="231"/>
      <c r="AC51" s="231"/>
      <c r="AD51" s="235"/>
      <c r="AE51" s="234"/>
    </row>
    <row r="52" spans="1:31" x14ac:dyDescent="0.25">
      <c r="A52" s="959" t="s">
        <v>967</v>
      </c>
      <c r="B52" s="1022"/>
      <c r="C52" s="1022"/>
      <c r="D52" s="1022"/>
      <c r="E52" s="1022"/>
      <c r="F52" s="1022"/>
      <c r="G52" s="1022"/>
      <c r="H52" s="1022"/>
      <c r="I52" s="1022"/>
      <c r="J52" s="1022"/>
      <c r="K52" s="1022"/>
      <c r="L52" s="1022"/>
    </row>
    <row r="53" spans="1:31" x14ac:dyDescent="0.25">
      <c r="A53" s="959"/>
      <c r="B53" s="1022"/>
      <c r="C53" s="1022"/>
      <c r="D53" s="1022"/>
      <c r="E53" s="1022"/>
      <c r="F53" s="1022"/>
      <c r="G53" s="1022"/>
      <c r="H53" s="1022"/>
      <c r="I53" s="1022"/>
      <c r="J53" s="1022"/>
      <c r="K53" s="1022"/>
      <c r="L53" s="1022"/>
    </row>
    <row r="54" spans="1:31" x14ac:dyDescent="0.25">
      <c r="A54" s="959"/>
      <c r="B54" s="1022"/>
      <c r="C54" s="1022"/>
      <c r="D54" s="1022"/>
      <c r="E54" s="1022"/>
      <c r="F54" s="1022"/>
      <c r="G54" s="1022"/>
      <c r="H54" s="1022"/>
      <c r="I54" s="1022"/>
      <c r="J54" s="1022"/>
      <c r="K54" s="1022"/>
      <c r="L54" s="1022"/>
    </row>
    <row r="55" spans="1:31" x14ac:dyDescent="0.25">
      <c r="A55" s="959"/>
      <c r="B55" s="1022"/>
      <c r="C55" s="1022"/>
      <c r="D55" s="1022"/>
      <c r="E55" s="1022"/>
      <c r="F55" s="1022"/>
      <c r="G55" s="1022"/>
      <c r="H55" s="1022"/>
      <c r="I55" s="1022"/>
      <c r="J55" s="1022"/>
      <c r="K55" s="1022"/>
      <c r="L55" s="1022"/>
    </row>
    <row r="56" spans="1:31" x14ac:dyDescent="0.25">
      <c r="A56" s="959"/>
      <c r="B56" s="1022"/>
      <c r="C56" s="1022"/>
      <c r="D56" s="1022"/>
      <c r="E56" s="1022"/>
      <c r="F56" s="1022"/>
      <c r="G56" s="1022"/>
      <c r="H56" s="1022"/>
      <c r="I56" s="1022"/>
      <c r="J56" s="1022"/>
      <c r="K56" s="1022"/>
      <c r="L56" s="1022"/>
    </row>
    <row r="57" spans="1:31" x14ac:dyDescent="0.25">
      <c r="A57" s="959"/>
      <c r="B57" s="1022"/>
      <c r="C57" s="1022"/>
      <c r="D57" s="1022"/>
      <c r="E57" s="1022"/>
      <c r="F57" s="1022"/>
      <c r="G57" s="1022"/>
      <c r="H57" s="1022"/>
      <c r="I57" s="1022"/>
      <c r="J57" s="1022"/>
      <c r="K57" s="1022"/>
      <c r="L57" s="1022"/>
    </row>
    <row r="58" spans="1:31" x14ac:dyDescent="0.25">
      <c r="A58" s="959"/>
      <c r="B58" s="1022"/>
      <c r="C58" s="1022"/>
      <c r="D58" s="1022"/>
      <c r="E58" s="1022"/>
      <c r="F58" s="1022"/>
      <c r="G58" s="1022"/>
      <c r="H58" s="1022"/>
      <c r="I58" s="1022"/>
      <c r="J58" s="1022"/>
      <c r="K58" s="1022"/>
      <c r="L58" s="1022"/>
    </row>
    <row r="59" spans="1:31" x14ac:dyDescent="0.25">
      <c r="A59" s="959"/>
      <c r="B59" s="1022"/>
      <c r="C59" s="1022"/>
      <c r="D59" s="1022"/>
      <c r="E59" s="1022"/>
      <c r="F59" s="1022"/>
      <c r="G59" s="1022"/>
      <c r="H59" s="1022"/>
      <c r="I59" s="1022"/>
      <c r="J59" s="1022"/>
      <c r="K59" s="1022"/>
      <c r="L59" s="1022"/>
    </row>
    <row r="60" spans="1:31" x14ac:dyDescent="0.25">
      <c r="A60" s="959"/>
      <c r="B60" s="1022"/>
      <c r="C60" s="1022"/>
      <c r="D60" s="1022"/>
      <c r="E60" s="1022"/>
      <c r="F60" s="1022"/>
      <c r="G60" s="1022"/>
      <c r="H60" s="1022"/>
      <c r="I60" s="1022"/>
      <c r="J60" s="1022"/>
      <c r="K60" s="1022"/>
      <c r="L60" s="1022"/>
    </row>
    <row r="61" spans="1:31" x14ac:dyDescent="0.25">
      <c r="A61" s="959"/>
      <c r="B61" s="1022"/>
      <c r="C61" s="1022"/>
      <c r="D61" s="1022"/>
      <c r="E61" s="1022"/>
      <c r="F61" s="1022"/>
      <c r="G61" s="1022"/>
      <c r="H61" s="1022"/>
      <c r="I61" s="1022"/>
      <c r="J61" s="1022"/>
      <c r="K61" s="1022"/>
      <c r="L61" s="1022"/>
    </row>
    <row r="62" spans="1:31" x14ac:dyDescent="0.25">
      <c r="A62" s="959"/>
      <c r="B62" s="1022"/>
      <c r="C62" s="1022"/>
      <c r="D62" s="1022"/>
      <c r="E62" s="1022"/>
      <c r="F62" s="1022"/>
      <c r="G62" s="1022"/>
      <c r="H62" s="1022"/>
      <c r="I62" s="1022"/>
      <c r="J62" s="1022"/>
      <c r="K62" s="1022"/>
      <c r="L62" s="1022"/>
    </row>
    <row r="63" spans="1:31" x14ac:dyDescent="0.25">
      <c r="A63" s="959" t="s">
        <v>968</v>
      </c>
      <c r="B63" s="1022"/>
      <c r="C63" s="1022"/>
      <c r="D63" s="1022"/>
      <c r="E63" s="1022"/>
      <c r="F63" s="1022"/>
      <c r="G63" s="1022"/>
      <c r="H63" s="1022"/>
      <c r="I63" s="1022"/>
      <c r="J63" s="1022"/>
      <c r="K63" s="1022"/>
      <c r="L63" s="1022"/>
    </row>
    <row r="64" spans="1:31"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6">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12:E12"/>
    <mergeCell ref="B5:E5"/>
    <mergeCell ref="G5:H5"/>
    <mergeCell ref="B6:E6"/>
    <mergeCell ref="G6:H6"/>
    <mergeCell ref="B7:E7"/>
    <mergeCell ref="G7:H7"/>
    <mergeCell ref="B8:E8"/>
    <mergeCell ref="G8:G10"/>
    <mergeCell ref="B9:E9"/>
    <mergeCell ref="B10:E10"/>
    <mergeCell ref="B11:E11"/>
    <mergeCell ref="G32:I32"/>
    <mergeCell ref="B33:D33"/>
    <mergeCell ref="H33:I33"/>
    <mergeCell ref="B23:E23"/>
    <mergeCell ref="B13:E13"/>
    <mergeCell ref="B14:E14"/>
    <mergeCell ref="B15:E15"/>
    <mergeCell ref="G15:L15"/>
    <mergeCell ref="B16:E16"/>
    <mergeCell ref="B17:E17"/>
    <mergeCell ref="B18:E18"/>
    <mergeCell ref="B19:E19"/>
    <mergeCell ref="B20:E20"/>
    <mergeCell ref="B21:E21"/>
    <mergeCell ref="B22:E22"/>
    <mergeCell ref="B24:E24"/>
    <mergeCell ref="B25:E25"/>
    <mergeCell ref="B26:E26"/>
    <mergeCell ref="B27:E27"/>
    <mergeCell ref="B28:E28"/>
    <mergeCell ref="B29:E29"/>
    <mergeCell ref="B31:D31"/>
    <mergeCell ref="B32:D32"/>
    <mergeCell ref="B42:D42"/>
    <mergeCell ref="B44:D44"/>
    <mergeCell ref="Z5:AB5"/>
    <mergeCell ref="Z6:AA6"/>
    <mergeCell ref="Z8:AA8"/>
    <mergeCell ref="Z9:AA9"/>
    <mergeCell ref="Z10:AA10"/>
    <mergeCell ref="Z11:AA11"/>
    <mergeCell ref="B35:D35"/>
    <mergeCell ref="H35:I35"/>
    <mergeCell ref="B36:D36"/>
    <mergeCell ref="B37:D37"/>
    <mergeCell ref="B38:D38"/>
    <mergeCell ref="B39:D39"/>
    <mergeCell ref="B34:D34"/>
    <mergeCell ref="H34:I34"/>
    <mergeCell ref="B41:D41"/>
    <mergeCell ref="Z12:AA12"/>
    <mergeCell ref="Z13:AA13"/>
    <mergeCell ref="Z14:AA14"/>
    <mergeCell ref="Z15:AA15"/>
    <mergeCell ref="Z16:AA16"/>
    <mergeCell ref="B40:D40"/>
    <mergeCell ref="G40:I40"/>
  </mergeCells>
  <conditionalFormatting sqref="B5">
    <cfRule type="containsText" dxfId="197" priority="1" operator="containsText" text="Terminé">
      <formula>NOT(ISERROR(SEARCH("Terminé",B5)))</formula>
    </cfRule>
    <cfRule type="containsText" dxfId="196" priority="2" operator="containsText" text="En cours">
      <formula>NOT(ISERROR(SEARCH("En cours",B5)))</formula>
    </cfRule>
    <cfRule type="containsText" dxfId="19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69"/>
  <sheetViews>
    <sheetView topLeftCell="B5"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759</v>
      </c>
      <c r="C2" s="1068"/>
      <c r="D2" s="1068"/>
      <c r="E2" s="1068"/>
      <c r="F2" s="7"/>
      <c r="G2" s="986" t="s">
        <v>751</v>
      </c>
      <c r="H2" s="986"/>
    </row>
    <row r="3" spans="1:28" ht="19.5" customHeight="1" x14ac:dyDescent="0.25">
      <c r="A3" s="442" t="s">
        <v>743</v>
      </c>
      <c r="B3" s="987" t="s">
        <v>457</v>
      </c>
      <c r="C3" s="987"/>
      <c r="D3" s="987"/>
      <c r="E3" s="987"/>
      <c r="F3" s="7"/>
      <c r="G3" s="986" t="s">
        <v>752</v>
      </c>
      <c r="H3" s="986"/>
    </row>
    <row r="4" spans="1:28" ht="19.5" customHeight="1" x14ac:dyDescent="0.25">
      <c r="A4" s="443" t="s">
        <v>292</v>
      </c>
      <c r="B4" s="996" t="s">
        <v>37</v>
      </c>
      <c r="C4" s="996"/>
      <c r="D4" s="996"/>
      <c r="E4" s="996"/>
      <c r="F4" s="7"/>
      <c r="G4" s="986" t="s">
        <v>753</v>
      </c>
      <c r="H4" s="986"/>
    </row>
    <row r="5" spans="1:28" ht="19.5" customHeight="1" x14ac:dyDescent="0.25">
      <c r="A5" s="44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248</v>
      </c>
      <c r="C7" s="994"/>
      <c r="D7" s="994"/>
      <c r="E7" s="994"/>
      <c r="F7" s="7"/>
      <c r="G7" s="995" t="s">
        <v>756</v>
      </c>
      <c r="H7" s="995"/>
      <c r="I7" s="446"/>
      <c r="J7" s="446"/>
      <c r="Z7" s="444"/>
      <c r="AA7" s="445"/>
      <c r="AB7" s="357"/>
    </row>
    <row r="8" spans="1:28" ht="24" customHeight="1" x14ac:dyDescent="0.25">
      <c r="A8" s="451" t="s">
        <v>1</v>
      </c>
      <c r="B8" s="967" t="s">
        <v>83</v>
      </c>
      <c r="C8" s="967"/>
      <c r="D8" s="967"/>
      <c r="E8" s="967"/>
      <c r="G8" s="997" t="s">
        <v>936</v>
      </c>
      <c r="I8" s="60" t="s">
        <v>117</v>
      </c>
      <c r="J8" s="60" t="s">
        <v>118</v>
      </c>
      <c r="Z8" s="1028" t="s">
        <v>611</v>
      </c>
      <c r="AA8" s="1029"/>
      <c r="AB8" s="357">
        <v>0.26819999999999999</v>
      </c>
    </row>
    <row r="9" spans="1:28" ht="24" customHeight="1" x14ac:dyDescent="0.25">
      <c r="A9" s="451" t="s">
        <v>0</v>
      </c>
      <c r="B9" s="967" t="s">
        <v>1129</v>
      </c>
      <c r="C9" s="967"/>
      <c r="D9" s="967"/>
      <c r="E9" s="967"/>
      <c r="G9" s="997"/>
      <c r="I9" s="60">
        <v>0.7</v>
      </c>
      <c r="J9" s="60">
        <v>0.26819999999999999</v>
      </c>
      <c r="Z9" s="1028" t="s">
        <v>612</v>
      </c>
      <c r="AA9" s="1029"/>
      <c r="AB9" s="357">
        <v>3.1300000000000001E-2</v>
      </c>
    </row>
    <row r="10" spans="1:28" ht="36.75" customHeight="1" x14ac:dyDescent="0.25">
      <c r="A10" s="451" t="s">
        <v>2</v>
      </c>
      <c r="B10" s="1034" t="s">
        <v>1057</v>
      </c>
      <c r="C10" s="1034"/>
      <c r="D10" s="1034"/>
      <c r="E10" s="1034"/>
      <c r="G10" s="997"/>
      <c r="H10" s="7"/>
      <c r="Z10" s="1028"/>
      <c r="AA10" s="1029"/>
      <c r="AB10" s="357"/>
    </row>
    <row r="11" spans="1:28" ht="35.25" customHeight="1" x14ac:dyDescent="0.25">
      <c r="A11" s="451" t="s">
        <v>29</v>
      </c>
      <c r="B11" s="1035"/>
      <c r="C11" s="1035"/>
      <c r="D11" s="1035"/>
      <c r="E11" s="1035"/>
      <c r="G11" s="225">
        <f>SUM(J17:J30)</f>
        <v>2464.6000000000004</v>
      </c>
      <c r="H11" s="131" t="s">
        <v>521</v>
      </c>
      <c r="Z11" s="1028" t="s">
        <v>613</v>
      </c>
      <c r="AA11" s="1029"/>
      <c r="AB11" s="357">
        <v>0.26819999999999999</v>
      </c>
    </row>
    <row r="12" spans="1:28" ht="30" customHeight="1" x14ac:dyDescent="0.25">
      <c r="A12" s="451" t="s">
        <v>14</v>
      </c>
      <c r="B12" s="1010" t="s">
        <v>939</v>
      </c>
      <c r="C12" s="1010"/>
      <c r="D12" s="1010"/>
      <c r="E12" s="1010"/>
      <c r="G12" s="439">
        <f>SUM(K17:K30)</f>
        <v>0</v>
      </c>
      <c r="H12" s="185" t="s">
        <v>522</v>
      </c>
      <c r="Z12" s="1028" t="s">
        <v>614</v>
      </c>
      <c r="AA12" s="1029"/>
      <c r="AB12" s="357">
        <v>1.18E-2</v>
      </c>
    </row>
    <row r="13" spans="1:28" ht="30" customHeight="1" x14ac:dyDescent="0.25">
      <c r="A13" s="451" t="s">
        <v>3</v>
      </c>
      <c r="B13" s="1011" t="s">
        <v>943</v>
      </c>
      <c r="C13" s="1011"/>
      <c r="D13" s="1011"/>
      <c r="E13" s="1011"/>
      <c r="G13" s="439">
        <f>SUM(L17:L30)</f>
        <v>0</v>
      </c>
      <c r="H13" s="439" t="s">
        <v>523</v>
      </c>
      <c r="Z13" s="1028" t="s">
        <v>615</v>
      </c>
      <c r="AA13" s="1029"/>
      <c r="AB13" s="358">
        <f>AB15/0.55</f>
        <v>0.50363636363636366</v>
      </c>
    </row>
    <row r="14" spans="1:28" ht="30" customHeight="1" thickBot="1" x14ac:dyDescent="0.3">
      <c r="A14" s="451" t="s">
        <v>15</v>
      </c>
      <c r="B14" s="1010"/>
      <c r="C14" s="1010"/>
      <c r="D14" s="1010"/>
      <c r="E14" s="1010"/>
      <c r="Z14" s="1028" t="s">
        <v>616</v>
      </c>
      <c r="AA14" s="1029"/>
      <c r="AB14" s="357">
        <v>0.26819999999999999</v>
      </c>
    </row>
    <row r="15" spans="1:28" ht="30" customHeight="1" thickTop="1" x14ac:dyDescent="0.25">
      <c r="A15" s="451" t="s">
        <v>4</v>
      </c>
      <c r="B15" s="1010">
        <v>2019</v>
      </c>
      <c r="C15" s="1010"/>
      <c r="D15" s="1010"/>
      <c r="E15" s="1010"/>
      <c r="G15" s="447" t="s">
        <v>936</v>
      </c>
      <c r="H15" s="448"/>
      <c r="I15" s="448"/>
      <c r="J15" s="448"/>
      <c r="K15" s="448"/>
      <c r="L15" s="449"/>
      <c r="Z15" s="1028" t="s">
        <v>578</v>
      </c>
      <c r="AA15" s="1029"/>
      <c r="AB15" s="357">
        <v>0.27700000000000002</v>
      </c>
    </row>
    <row r="16" spans="1:28" ht="30" customHeight="1" x14ac:dyDescent="0.25">
      <c r="A16" s="451" t="s">
        <v>5</v>
      </c>
      <c r="B16" s="1010">
        <v>2020</v>
      </c>
      <c r="C16" s="1010"/>
      <c r="D16" s="1010"/>
      <c r="E16" s="1010"/>
      <c r="G16" s="246" t="s">
        <v>517</v>
      </c>
      <c r="H16" s="247" t="s">
        <v>526</v>
      </c>
      <c r="I16" s="247" t="s">
        <v>527</v>
      </c>
      <c r="J16" s="249" t="s">
        <v>524</v>
      </c>
      <c r="K16" s="247" t="s">
        <v>520</v>
      </c>
      <c r="L16" s="248" t="s">
        <v>200</v>
      </c>
      <c r="Z16" s="1028" t="s">
        <v>579</v>
      </c>
      <c r="AA16" s="1029"/>
      <c r="AB16" s="357">
        <v>0.20269999999999999</v>
      </c>
    </row>
    <row r="17" spans="1:12" ht="30" customHeight="1" x14ac:dyDescent="0.25">
      <c r="A17" s="451" t="s">
        <v>6</v>
      </c>
      <c r="B17" s="1000">
        <v>60000</v>
      </c>
      <c r="C17" s="1000"/>
      <c r="D17" s="1000"/>
      <c r="E17" s="1000"/>
      <c r="G17" s="238" t="s">
        <v>1116</v>
      </c>
      <c r="H17" s="237">
        <v>12646</v>
      </c>
      <c r="I17" s="234">
        <f>H17-H17*0.1</f>
        <v>11381.4</v>
      </c>
      <c r="J17" s="214">
        <f>H17-I17</f>
        <v>1264.6000000000004</v>
      </c>
      <c r="K17" s="234"/>
      <c r="L17" s="239"/>
    </row>
    <row r="18" spans="1:12" ht="30" customHeight="1" x14ac:dyDescent="0.25">
      <c r="A18" s="451" t="s">
        <v>7</v>
      </c>
      <c r="B18" s="1000">
        <f>B17*0.7</f>
        <v>42000</v>
      </c>
      <c r="C18" s="1000"/>
      <c r="D18" s="1000"/>
      <c r="E18" s="1000"/>
      <c r="G18" s="238" t="s">
        <v>1053</v>
      </c>
      <c r="H18" s="237">
        <v>6000</v>
      </c>
      <c r="I18" s="234">
        <f>H18-H18*0.2</f>
        <v>4800</v>
      </c>
      <c r="J18" s="214">
        <f>H18-I18</f>
        <v>1200</v>
      </c>
      <c r="K18" s="234"/>
      <c r="L18" s="239"/>
    </row>
    <row r="19" spans="1:12" ht="30" customHeight="1" x14ac:dyDescent="0.25">
      <c r="A19" s="99" t="s">
        <v>307</v>
      </c>
      <c r="B19" s="1039">
        <f>G11*10</f>
        <v>24646.000000000004</v>
      </c>
      <c r="C19" s="1040"/>
      <c r="D19" s="1040"/>
      <c r="E19" s="1040"/>
      <c r="F19" s="33"/>
      <c r="G19" s="240"/>
      <c r="H19" s="237"/>
      <c r="I19" s="234"/>
      <c r="J19" s="214"/>
      <c r="K19" s="234"/>
      <c r="L19" s="239"/>
    </row>
    <row r="20" spans="1:12" ht="30" customHeight="1" x14ac:dyDescent="0.25">
      <c r="A20" s="96" t="s">
        <v>306</v>
      </c>
      <c r="B20" s="1041"/>
      <c r="C20" s="1042"/>
      <c r="D20" s="1042"/>
      <c r="E20" s="1042"/>
      <c r="G20" s="238"/>
      <c r="H20" s="237"/>
      <c r="I20" s="234"/>
      <c r="J20" s="214"/>
      <c r="K20" s="234"/>
      <c r="L20" s="239"/>
    </row>
    <row r="21" spans="1:12" ht="30" customHeight="1" x14ac:dyDescent="0.25">
      <c r="A21" s="451" t="s">
        <v>8</v>
      </c>
      <c r="B21" s="1000">
        <f>G11*I9</f>
        <v>1725.2200000000003</v>
      </c>
      <c r="C21" s="1000"/>
      <c r="D21" s="1000"/>
      <c r="E21" s="1000"/>
      <c r="G21" s="238"/>
      <c r="H21" s="237"/>
      <c r="I21" s="234"/>
      <c r="J21" s="214"/>
      <c r="K21" s="234"/>
      <c r="L21" s="239"/>
    </row>
    <row r="22" spans="1:12" ht="30" customHeight="1" x14ac:dyDescent="0.25">
      <c r="A22" s="451" t="s">
        <v>9</v>
      </c>
      <c r="B22" s="1000">
        <f>B20/1000*L11*4</f>
        <v>0</v>
      </c>
      <c r="C22" s="1000"/>
      <c r="D22" s="1000"/>
      <c r="E22" s="1000"/>
      <c r="G22" s="238"/>
      <c r="H22" s="237"/>
      <c r="I22" s="234"/>
      <c r="J22" s="214"/>
      <c r="K22" s="234"/>
      <c r="L22" s="239"/>
    </row>
    <row r="23" spans="1:12" ht="30" customHeight="1" x14ac:dyDescent="0.25">
      <c r="A23" s="451" t="s">
        <v>301</v>
      </c>
      <c r="B23" s="1016">
        <f>B17/(B21+B22)</f>
        <v>34.778173218488071</v>
      </c>
      <c r="C23" s="1016"/>
      <c r="D23" s="1016"/>
      <c r="E23" s="1016"/>
      <c r="G23" s="238"/>
      <c r="H23" s="237"/>
      <c r="I23" s="234"/>
      <c r="J23" s="214"/>
      <c r="K23" s="234"/>
      <c r="L23" s="239"/>
    </row>
    <row r="24" spans="1:12" ht="30" customHeight="1" x14ac:dyDescent="0.25">
      <c r="A24" s="451" t="s">
        <v>302</v>
      </c>
      <c r="B24" s="1017">
        <f>(B17-B18)/(B21+B22)</f>
        <v>10.433451965546421</v>
      </c>
      <c r="C24" s="1017"/>
      <c r="D24" s="1017"/>
      <c r="E24" s="1017"/>
      <c r="G24" s="238"/>
      <c r="H24" s="237"/>
      <c r="I24" s="234"/>
      <c r="J24" s="214"/>
      <c r="K24" s="234"/>
      <c r="L24" s="239"/>
    </row>
    <row r="25" spans="1:12" ht="30" customHeight="1" x14ac:dyDescent="0.25">
      <c r="A25" s="100" t="s">
        <v>305</v>
      </c>
      <c r="B25" s="1070">
        <f>B19/1000*J9</f>
        <v>6.6100572000000009</v>
      </c>
      <c r="C25" s="1070"/>
      <c r="D25" s="1070"/>
      <c r="E25" s="1070"/>
      <c r="G25" s="238"/>
      <c r="H25" s="237"/>
      <c r="I25" s="234"/>
      <c r="J25" s="214"/>
      <c r="K25" s="234"/>
      <c r="L25" s="239"/>
    </row>
    <row r="26" spans="1:12" ht="30" customHeight="1" x14ac:dyDescent="0.25">
      <c r="A26" s="101" t="s">
        <v>303</v>
      </c>
      <c r="B26" s="1071">
        <f>B25/'Objectifs CO2'!C6</f>
        <v>6.0973554321222647E-3</v>
      </c>
      <c r="C26" s="1071"/>
      <c r="D26" s="1071"/>
      <c r="E26" s="1071"/>
      <c r="G26" s="238"/>
      <c r="H26" s="237"/>
      <c r="I26" s="234"/>
      <c r="J26" s="214"/>
      <c r="K26" s="234"/>
      <c r="L26" s="239"/>
    </row>
    <row r="27" spans="1:12" ht="30" customHeight="1" x14ac:dyDescent="0.25">
      <c r="A27" s="101" t="s">
        <v>304</v>
      </c>
      <c r="B27" s="1056">
        <f>B25/'Objectifs CO2'!C4</f>
        <v>3.0486777160611321E-4</v>
      </c>
      <c r="C27" s="1057"/>
      <c r="D27" s="1057"/>
      <c r="E27" s="1057"/>
      <c r="G27" s="241"/>
      <c r="H27" s="237"/>
      <c r="I27" s="234"/>
      <c r="J27" s="214"/>
      <c r="K27" s="234"/>
      <c r="L27" s="239"/>
    </row>
    <row r="28" spans="1:12" ht="30" customHeight="1" x14ac:dyDescent="0.25">
      <c r="A28" s="101" t="s">
        <v>22</v>
      </c>
      <c r="B28" s="999" t="s">
        <v>10</v>
      </c>
      <c r="C28" s="999"/>
      <c r="D28" s="999"/>
      <c r="E28" s="999"/>
      <c r="G28" s="242"/>
      <c r="H28" s="234"/>
      <c r="I28" s="234"/>
      <c r="J28" s="214"/>
      <c r="K28" s="234"/>
      <c r="L28" s="239"/>
    </row>
    <row r="29" spans="1:12" ht="30" customHeight="1" x14ac:dyDescent="0.25">
      <c r="A29" s="101" t="s">
        <v>257</v>
      </c>
      <c r="B29" s="999"/>
      <c r="C29" s="999"/>
      <c r="D29" s="999"/>
      <c r="E29" s="999"/>
      <c r="G29" s="242"/>
      <c r="H29" s="234"/>
      <c r="I29" s="234"/>
      <c r="J29" s="214"/>
      <c r="K29" s="234"/>
      <c r="L29" s="239"/>
    </row>
    <row r="30" spans="1:12" ht="15.75" thickBot="1" x14ac:dyDescent="0.3">
      <c r="G30" s="243"/>
      <c r="H30" s="244"/>
      <c r="I30" s="244"/>
      <c r="J30" s="250"/>
      <c r="K30" s="244"/>
      <c r="L30" s="245"/>
    </row>
    <row r="31" spans="1:12" ht="15.75" thickTop="1" x14ac:dyDescent="0.25">
      <c r="A31" s="603" t="s">
        <v>1065</v>
      </c>
      <c r="B31" s="1003" t="s">
        <v>675</v>
      </c>
      <c r="C31" s="1003"/>
      <c r="D31" s="1003"/>
      <c r="E31" s="439" t="s">
        <v>676</v>
      </c>
      <c r="J31" s="231"/>
      <c r="K31" s="231"/>
      <c r="L31" s="231"/>
    </row>
    <row r="32" spans="1:12" x14ac:dyDescent="0.25">
      <c r="A32" s="377"/>
      <c r="B32" s="992" t="s">
        <v>677</v>
      </c>
      <c r="C32" s="992"/>
      <c r="D32" s="992"/>
      <c r="E32" s="374"/>
      <c r="G32" s="1004" t="s">
        <v>676</v>
      </c>
      <c r="H32" s="1004"/>
      <c r="I32" s="1004"/>
      <c r="J32" s="231"/>
      <c r="K32" s="231"/>
      <c r="L32" s="231"/>
    </row>
    <row r="33" spans="1:31" x14ac:dyDescent="0.25">
      <c r="A33" s="377"/>
      <c r="B33" s="992" t="s">
        <v>678</v>
      </c>
      <c r="C33" s="992"/>
      <c r="D33" s="992"/>
      <c r="E33" s="374"/>
      <c r="G33" s="375">
        <v>3</v>
      </c>
      <c r="H33" s="1004" t="s">
        <v>679</v>
      </c>
      <c r="I33" s="1004"/>
    </row>
    <row r="34" spans="1:31" x14ac:dyDescent="0.25">
      <c r="A34" s="377"/>
      <c r="B34" s="992" t="s">
        <v>680</v>
      </c>
      <c r="C34" s="992"/>
      <c r="D34" s="992"/>
      <c r="E34" s="374"/>
      <c r="G34" s="375">
        <v>2</v>
      </c>
      <c r="H34" s="1004" t="s">
        <v>681</v>
      </c>
      <c r="I34" s="1004"/>
    </row>
    <row r="35" spans="1:31" x14ac:dyDescent="0.25">
      <c r="A35" s="377"/>
      <c r="B35" s="992" t="s">
        <v>682</v>
      </c>
      <c r="C35" s="992"/>
      <c r="D35" s="992"/>
      <c r="E35" s="374"/>
      <c r="G35" s="375">
        <v>1</v>
      </c>
      <c r="H35" s="1004" t="s">
        <v>683</v>
      </c>
      <c r="I35" s="1004"/>
    </row>
    <row r="36" spans="1:31" x14ac:dyDescent="0.25">
      <c r="A36" s="377"/>
      <c r="B36" s="992" t="s">
        <v>684</v>
      </c>
      <c r="C36" s="992"/>
      <c r="D36" s="992"/>
      <c r="E36" s="374"/>
      <c r="S36" s="227" t="s">
        <v>508</v>
      </c>
      <c r="T36" s="228"/>
      <c r="V36" s="227" t="s">
        <v>509</v>
      </c>
      <c r="Z36" s="227" t="s">
        <v>510</v>
      </c>
      <c r="AA36" s="228"/>
      <c r="AD36" s="227" t="s">
        <v>936</v>
      </c>
      <c r="AE36" s="228"/>
    </row>
    <row r="37" spans="1:31" x14ac:dyDescent="0.25">
      <c r="A37" s="377"/>
      <c r="B37" s="992" t="s">
        <v>685</v>
      </c>
      <c r="C37" s="992"/>
      <c r="D37" s="992"/>
      <c r="E37" s="374"/>
      <c r="S37" s="230" t="s">
        <v>515</v>
      </c>
      <c r="T37" s="230">
        <v>67</v>
      </c>
      <c r="U37" s="231"/>
      <c r="V37" s="229"/>
      <c r="W37" s="231"/>
      <c r="X37" s="231"/>
      <c r="Y37" s="231"/>
      <c r="Z37" s="229"/>
      <c r="AA37" s="230"/>
      <c r="AB37" s="231"/>
      <c r="AC37" s="231"/>
      <c r="AD37" s="229"/>
      <c r="AE37" s="230"/>
    </row>
    <row r="38" spans="1:31" x14ac:dyDescent="0.25">
      <c r="A38" s="377"/>
      <c r="B38" s="992" t="s">
        <v>686</v>
      </c>
      <c r="C38" s="992"/>
      <c r="D38" s="992"/>
      <c r="E38" s="374"/>
      <c r="S38" s="230" t="s">
        <v>516</v>
      </c>
      <c r="T38" s="230">
        <v>85</v>
      </c>
      <c r="U38" s="231"/>
      <c r="V38" s="229"/>
      <c r="W38" s="231"/>
      <c r="X38" s="231"/>
      <c r="Y38" s="231"/>
      <c r="Z38" s="229"/>
      <c r="AA38" s="230"/>
      <c r="AB38" s="231"/>
      <c r="AC38" s="231"/>
      <c r="AD38" s="229"/>
      <c r="AE38" s="230"/>
    </row>
    <row r="39" spans="1:31" x14ac:dyDescent="0.25">
      <c r="A39" s="377"/>
      <c r="B39" s="992" t="s">
        <v>687</v>
      </c>
      <c r="C39" s="992"/>
      <c r="D39" s="992"/>
      <c r="E39" s="374"/>
      <c r="S39" s="232"/>
      <c r="T39" s="232"/>
      <c r="U39" s="231"/>
      <c r="V39" s="229"/>
      <c r="W39" s="231"/>
      <c r="X39" s="231"/>
      <c r="Y39" s="231"/>
      <c r="Z39" s="232"/>
      <c r="AA39" s="232"/>
      <c r="AB39" s="231"/>
      <c r="AC39" s="231"/>
      <c r="AD39" s="229"/>
      <c r="AE39" s="230"/>
    </row>
    <row r="40" spans="1:31" x14ac:dyDescent="0.25">
      <c r="A40" s="377"/>
      <c r="B40" s="992" t="s">
        <v>688</v>
      </c>
      <c r="C40" s="992"/>
      <c r="D40" s="992"/>
      <c r="E40" s="374"/>
      <c r="G40" s="1005" t="s">
        <v>689</v>
      </c>
      <c r="H40" s="1005"/>
      <c r="I40" s="1005"/>
      <c r="S40" s="232"/>
      <c r="T40" s="232"/>
      <c r="U40" s="231"/>
      <c r="V40" s="229"/>
      <c r="W40" s="231"/>
      <c r="X40" s="231"/>
      <c r="Y40" s="231"/>
      <c r="Z40" s="232"/>
      <c r="AA40" s="232"/>
      <c r="AB40" s="231"/>
      <c r="AC40" s="231"/>
      <c r="AD40" s="229"/>
      <c r="AE40" s="230"/>
    </row>
    <row r="41" spans="1:31" x14ac:dyDescent="0.25">
      <c r="A41" s="377"/>
      <c r="B41" s="992" t="s">
        <v>843</v>
      </c>
      <c r="C41" s="992"/>
      <c r="D41" s="992"/>
      <c r="E41" s="374"/>
      <c r="G41" s="377" t="s">
        <v>690</v>
      </c>
      <c r="H41" s="378" t="s">
        <v>691</v>
      </c>
      <c r="I41" s="377" t="s">
        <v>692</v>
      </c>
      <c r="S41" s="232"/>
      <c r="T41" s="232"/>
      <c r="U41" s="231"/>
      <c r="V41" s="232"/>
      <c r="W41" s="231"/>
      <c r="X41" s="231"/>
      <c r="Y41" s="231"/>
      <c r="Z41" s="232"/>
      <c r="AA41" s="232"/>
      <c r="AB41" s="231"/>
      <c r="AC41" s="231"/>
      <c r="AD41" s="233"/>
      <c r="AE41" s="232"/>
    </row>
    <row r="42" spans="1:31" x14ac:dyDescent="0.25">
      <c r="A42" s="377"/>
      <c r="B42" s="988" t="s">
        <v>247</v>
      </c>
      <c r="C42" s="988"/>
      <c r="D42" s="988"/>
      <c r="E42" s="376">
        <f>SUM(E32:E40)</f>
        <v>0</v>
      </c>
      <c r="G42" s="377" t="s">
        <v>693</v>
      </c>
      <c r="H42" s="377" t="s">
        <v>694</v>
      </c>
      <c r="I42" s="377" t="s">
        <v>695</v>
      </c>
      <c r="S42" s="232"/>
      <c r="T42" s="232"/>
      <c r="U42" s="231"/>
      <c r="V42" s="232"/>
      <c r="W42" s="231"/>
      <c r="X42" s="231"/>
      <c r="Y42" s="231"/>
      <c r="Z42" s="232"/>
      <c r="AA42" s="232"/>
      <c r="AB42" s="231"/>
      <c r="AC42" s="231"/>
      <c r="AD42" s="233"/>
      <c r="AE42" s="232"/>
    </row>
    <row r="43" spans="1:31" x14ac:dyDescent="0.25">
      <c r="A43" s="497"/>
      <c r="E43" s="94" t="s">
        <v>730</v>
      </c>
      <c r="S43" s="234"/>
      <c r="T43" s="234"/>
      <c r="U43" s="231"/>
      <c r="V43" s="234"/>
      <c r="W43" s="231"/>
      <c r="X43" s="231"/>
      <c r="Y43" s="231"/>
      <c r="Z43" s="234"/>
      <c r="AA43" s="234"/>
      <c r="AB43" s="231"/>
      <c r="AC43" s="231"/>
      <c r="AD43" s="235"/>
      <c r="AE43" s="234"/>
    </row>
    <row r="44" spans="1:31" x14ac:dyDescent="0.25">
      <c r="A44" s="497"/>
      <c r="B44" s="989" t="s">
        <v>696</v>
      </c>
      <c r="C44" s="990"/>
      <c r="D44" s="991"/>
      <c r="E44" s="267">
        <v>1</v>
      </c>
      <c r="G44" s="377">
        <v>1</v>
      </c>
      <c r="H44" s="377" t="s">
        <v>697</v>
      </c>
      <c r="S44" s="234"/>
      <c r="T44" s="234"/>
      <c r="U44" s="231"/>
      <c r="V44" s="234"/>
      <c r="W44" s="231"/>
      <c r="X44" s="231"/>
      <c r="Y44" s="231"/>
      <c r="Z44" s="234"/>
      <c r="AA44" s="234"/>
      <c r="AB44" s="231"/>
      <c r="AC44" s="231"/>
      <c r="AD44" s="235"/>
      <c r="AE44" s="234"/>
    </row>
    <row r="45" spans="1:31" x14ac:dyDescent="0.25">
      <c r="G45" s="377">
        <v>0</v>
      </c>
      <c r="H45" s="377" t="s">
        <v>698</v>
      </c>
      <c r="S45" s="234"/>
      <c r="T45" s="234"/>
      <c r="U45" s="231"/>
      <c r="V45" s="234"/>
      <c r="W45" s="231"/>
      <c r="X45" s="231"/>
      <c r="Y45" s="231"/>
      <c r="Z45" s="234"/>
      <c r="AA45" s="234"/>
      <c r="AB45" s="231"/>
      <c r="AC45" s="231"/>
      <c r="AD45" s="235"/>
      <c r="AE45" s="234"/>
    </row>
    <row r="46" spans="1:31" x14ac:dyDescent="0.25">
      <c r="G46" s="1022" t="s">
        <v>965</v>
      </c>
      <c r="H46" s="1022"/>
      <c r="I46" s="1022"/>
      <c r="J46" s="1022"/>
      <c r="K46" s="1022"/>
      <c r="L46" s="1022"/>
      <c r="S46" s="234"/>
      <c r="T46" s="234"/>
      <c r="U46" s="231"/>
      <c r="V46" s="234"/>
      <c r="W46" s="231"/>
      <c r="X46" s="231"/>
      <c r="Y46" s="231"/>
      <c r="Z46" s="234"/>
      <c r="AA46" s="234"/>
      <c r="AB46" s="231"/>
      <c r="AC46" s="231"/>
      <c r="AD46" s="235"/>
      <c r="AE46" s="234"/>
    </row>
    <row r="47" spans="1:31" x14ac:dyDescent="0.25">
      <c r="A47" s="959" t="s">
        <v>966</v>
      </c>
      <c r="B47" s="1022"/>
      <c r="C47" s="1022"/>
      <c r="D47" s="1022"/>
      <c r="E47" s="1022"/>
      <c r="F47" s="1022"/>
      <c r="G47" s="1022"/>
      <c r="H47" s="1022"/>
      <c r="I47" s="1022"/>
      <c r="J47" s="1022"/>
      <c r="K47" s="1022"/>
      <c r="L47" s="1022"/>
      <c r="S47" s="234"/>
      <c r="T47" s="234"/>
      <c r="U47" s="231"/>
      <c r="V47" s="234"/>
      <c r="W47" s="231"/>
      <c r="X47" s="231"/>
      <c r="Y47" s="231"/>
      <c r="Z47" s="234"/>
      <c r="AA47" s="234"/>
      <c r="AB47" s="231"/>
      <c r="AC47" s="231"/>
      <c r="AD47" s="235"/>
      <c r="AE47" s="234"/>
    </row>
    <row r="48" spans="1:31" x14ac:dyDescent="0.25">
      <c r="A48" s="959"/>
      <c r="B48" s="1022"/>
      <c r="C48" s="1022"/>
      <c r="D48" s="1022"/>
      <c r="E48" s="1022"/>
      <c r="F48" s="1022"/>
      <c r="G48" s="1022"/>
      <c r="H48" s="1022"/>
      <c r="I48" s="1022"/>
      <c r="J48" s="1022"/>
      <c r="K48" s="1022"/>
      <c r="L48" s="1022"/>
      <c r="S48" s="234"/>
      <c r="T48" s="234"/>
      <c r="U48" s="231"/>
      <c r="V48" s="234"/>
      <c r="W48" s="231"/>
      <c r="X48" s="231"/>
      <c r="Y48" s="231"/>
      <c r="Z48" s="234"/>
      <c r="AA48" s="234"/>
      <c r="AB48" s="231"/>
      <c r="AC48" s="231"/>
      <c r="AD48" s="235"/>
      <c r="AE48" s="234"/>
    </row>
    <row r="49" spans="1:31" x14ac:dyDescent="0.25">
      <c r="A49" s="959"/>
      <c r="B49" s="1022"/>
      <c r="C49" s="1022"/>
      <c r="D49" s="1022"/>
      <c r="E49" s="1022"/>
      <c r="F49" s="1022"/>
      <c r="G49" s="1022"/>
      <c r="H49" s="1022"/>
      <c r="I49" s="1022"/>
      <c r="J49" s="1022"/>
      <c r="K49" s="1022"/>
      <c r="L49" s="1022"/>
      <c r="S49" s="234"/>
      <c r="T49" s="234"/>
      <c r="U49" s="231"/>
      <c r="V49" s="234"/>
      <c r="W49" s="231"/>
      <c r="X49" s="231"/>
      <c r="Y49" s="231"/>
      <c r="Z49" s="234"/>
      <c r="AA49" s="234"/>
      <c r="AB49" s="231"/>
      <c r="AC49" s="231"/>
      <c r="AD49" s="235"/>
      <c r="AE49" s="234"/>
    </row>
    <row r="50" spans="1:31" x14ac:dyDescent="0.25">
      <c r="A50" s="959"/>
      <c r="B50" s="1022"/>
      <c r="C50" s="1022"/>
      <c r="D50" s="1022"/>
      <c r="E50" s="1022"/>
      <c r="F50" s="1022"/>
      <c r="G50" s="1022"/>
      <c r="H50" s="1022"/>
      <c r="I50" s="1022"/>
      <c r="J50" s="1022"/>
      <c r="K50" s="1022"/>
      <c r="L50" s="1022"/>
      <c r="S50" s="234"/>
      <c r="T50" s="234"/>
      <c r="U50" s="231"/>
      <c r="V50" s="234"/>
      <c r="W50" s="231"/>
      <c r="X50" s="231"/>
      <c r="Y50" s="231"/>
      <c r="Z50" s="234"/>
      <c r="AA50" s="234"/>
      <c r="AB50" s="231"/>
      <c r="AC50" s="231"/>
      <c r="AD50" s="235"/>
      <c r="AE50" s="234"/>
    </row>
    <row r="51" spans="1:31" x14ac:dyDescent="0.25">
      <c r="A51" s="959"/>
      <c r="B51" s="1022"/>
      <c r="C51" s="1022"/>
      <c r="D51" s="1022"/>
      <c r="E51" s="1022"/>
      <c r="F51" s="1022"/>
      <c r="G51" s="1022"/>
      <c r="H51" s="1022"/>
      <c r="I51" s="1022"/>
      <c r="J51" s="1022"/>
      <c r="K51" s="1022"/>
      <c r="L51" s="1022"/>
      <c r="S51" s="234"/>
      <c r="T51" s="234"/>
      <c r="U51" s="231"/>
      <c r="V51" s="234"/>
      <c r="W51" s="231"/>
      <c r="X51" s="231"/>
      <c r="Y51" s="231"/>
      <c r="Z51" s="234"/>
      <c r="AA51" s="234"/>
      <c r="AB51" s="231"/>
      <c r="AC51" s="231"/>
      <c r="AD51" s="235"/>
      <c r="AE51" s="234"/>
    </row>
    <row r="52" spans="1:31" x14ac:dyDescent="0.25">
      <c r="A52" s="959" t="s">
        <v>967</v>
      </c>
      <c r="B52" s="1022"/>
      <c r="C52" s="1022"/>
      <c r="D52" s="1022"/>
      <c r="E52" s="1022"/>
      <c r="F52" s="1022"/>
      <c r="G52" s="1022"/>
      <c r="H52" s="1022"/>
      <c r="I52" s="1022"/>
      <c r="J52" s="1022"/>
      <c r="K52" s="1022"/>
      <c r="L52" s="1022"/>
    </row>
    <row r="53" spans="1:31" x14ac:dyDescent="0.25">
      <c r="A53" s="959"/>
      <c r="B53" s="1022"/>
      <c r="C53" s="1022"/>
      <c r="D53" s="1022"/>
      <c r="E53" s="1022"/>
      <c r="F53" s="1022"/>
      <c r="G53" s="1022"/>
      <c r="H53" s="1022"/>
      <c r="I53" s="1022"/>
      <c r="J53" s="1022"/>
      <c r="K53" s="1022"/>
      <c r="L53" s="1022"/>
    </row>
    <row r="54" spans="1:31" x14ac:dyDescent="0.25">
      <c r="A54" s="959"/>
      <c r="B54" s="1022"/>
      <c r="C54" s="1022"/>
      <c r="D54" s="1022"/>
      <c r="E54" s="1022"/>
      <c r="F54" s="1022"/>
      <c r="G54" s="1022"/>
      <c r="H54" s="1022"/>
      <c r="I54" s="1022"/>
      <c r="J54" s="1022"/>
      <c r="K54" s="1022"/>
      <c r="L54" s="1022"/>
    </row>
    <row r="55" spans="1:31" x14ac:dyDescent="0.25">
      <c r="A55" s="959"/>
      <c r="B55" s="1022"/>
      <c r="C55" s="1022"/>
      <c r="D55" s="1022"/>
      <c r="E55" s="1022"/>
      <c r="F55" s="1022"/>
      <c r="G55" s="1022"/>
      <c r="H55" s="1022"/>
      <c r="I55" s="1022"/>
      <c r="J55" s="1022"/>
      <c r="K55" s="1022"/>
      <c r="L55" s="1022"/>
    </row>
    <row r="56" spans="1:31" x14ac:dyDescent="0.25">
      <c r="A56" s="959"/>
      <c r="B56" s="1022"/>
      <c r="C56" s="1022"/>
      <c r="D56" s="1022"/>
      <c r="E56" s="1022"/>
      <c r="F56" s="1022"/>
      <c r="G56" s="1022"/>
      <c r="H56" s="1022"/>
      <c r="I56" s="1022"/>
      <c r="J56" s="1022"/>
      <c r="K56" s="1022"/>
      <c r="L56" s="1022"/>
    </row>
    <row r="57" spans="1:31" x14ac:dyDescent="0.25">
      <c r="A57" s="959"/>
      <c r="B57" s="1022"/>
      <c r="C57" s="1022"/>
      <c r="D57" s="1022"/>
      <c r="E57" s="1022"/>
      <c r="F57" s="1022"/>
      <c r="G57" s="1022"/>
      <c r="H57" s="1022"/>
      <c r="I57" s="1022"/>
      <c r="J57" s="1022"/>
      <c r="K57" s="1022"/>
      <c r="L57" s="1022"/>
    </row>
    <row r="58" spans="1:31" x14ac:dyDescent="0.25">
      <c r="A58" s="959"/>
      <c r="B58" s="1022"/>
      <c r="C58" s="1022"/>
      <c r="D58" s="1022"/>
      <c r="E58" s="1022"/>
      <c r="F58" s="1022"/>
      <c r="G58" s="1022"/>
      <c r="H58" s="1022"/>
      <c r="I58" s="1022"/>
      <c r="J58" s="1022"/>
      <c r="K58" s="1022"/>
      <c r="L58" s="1022"/>
    </row>
    <row r="59" spans="1:31" x14ac:dyDescent="0.25">
      <c r="A59" s="959"/>
      <c r="B59" s="1022"/>
      <c r="C59" s="1022"/>
      <c r="D59" s="1022"/>
      <c r="E59" s="1022"/>
      <c r="F59" s="1022"/>
      <c r="G59" s="1022"/>
      <c r="H59" s="1022"/>
      <c r="I59" s="1022"/>
      <c r="J59" s="1022"/>
      <c r="K59" s="1022"/>
      <c r="L59" s="1022"/>
    </row>
    <row r="60" spans="1:31" x14ac:dyDescent="0.25">
      <c r="A60" s="959"/>
      <c r="B60" s="1022"/>
      <c r="C60" s="1022"/>
      <c r="D60" s="1022"/>
      <c r="E60" s="1022"/>
      <c r="F60" s="1022"/>
      <c r="G60" s="1022"/>
      <c r="H60" s="1022"/>
      <c r="I60" s="1022"/>
      <c r="J60" s="1022"/>
      <c r="K60" s="1022"/>
      <c r="L60" s="1022"/>
    </row>
    <row r="61" spans="1:31" x14ac:dyDescent="0.25">
      <c r="A61" s="959"/>
      <c r="B61" s="1022"/>
      <c r="C61" s="1022"/>
      <c r="D61" s="1022"/>
      <c r="E61" s="1022"/>
      <c r="F61" s="1022"/>
      <c r="G61" s="1022"/>
      <c r="H61" s="1022"/>
      <c r="I61" s="1022"/>
      <c r="J61" s="1022"/>
      <c r="K61" s="1022"/>
      <c r="L61" s="1022"/>
    </row>
    <row r="62" spans="1:31" x14ac:dyDescent="0.25">
      <c r="A62" s="959"/>
      <c r="B62" s="1022"/>
      <c r="C62" s="1022"/>
      <c r="D62" s="1022"/>
      <c r="E62" s="1022"/>
      <c r="F62" s="1022"/>
      <c r="G62" s="1022"/>
      <c r="H62" s="1022"/>
      <c r="I62" s="1022"/>
      <c r="J62" s="1022"/>
      <c r="K62" s="1022"/>
      <c r="L62" s="1022"/>
    </row>
    <row r="63" spans="1:31" x14ac:dyDescent="0.25">
      <c r="A63" s="959" t="s">
        <v>968</v>
      </c>
      <c r="B63" s="1022"/>
      <c r="C63" s="1022"/>
      <c r="D63" s="1022"/>
      <c r="E63" s="1022"/>
      <c r="F63" s="1022"/>
      <c r="G63" s="1022"/>
      <c r="H63" s="1022"/>
      <c r="I63" s="1022"/>
      <c r="J63" s="1022"/>
      <c r="K63" s="1022"/>
      <c r="L63" s="1022"/>
    </row>
    <row r="64" spans="1:31"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B6:E6"/>
    <mergeCell ref="G6:H6"/>
    <mergeCell ref="B7:E7"/>
    <mergeCell ref="G7:H7"/>
    <mergeCell ref="G8:G10"/>
    <mergeCell ref="B9:E9"/>
    <mergeCell ref="B10:E10"/>
    <mergeCell ref="B11:E11"/>
    <mergeCell ref="B12:E12"/>
    <mergeCell ref="B18:E18"/>
    <mergeCell ref="B8:E8"/>
    <mergeCell ref="B13:E13"/>
    <mergeCell ref="B14:E14"/>
    <mergeCell ref="B15:E15"/>
    <mergeCell ref="B16:E16"/>
    <mergeCell ref="B17:E17"/>
    <mergeCell ref="B22:E22"/>
    <mergeCell ref="B23:E23"/>
    <mergeCell ref="B44:D44"/>
    <mergeCell ref="Z5:AB5"/>
    <mergeCell ref="Z6:AA6"/>
    <mergeCell ref="Z8:AA8"/>
    <mergeCell ref="Z9:AA9"/>
    <mergeCell ref="Z10:AA10"/>
    <mergeCell ref="Z11:AA11"/>
    <mergeCell ref="B35:D35"/>
    <mergeCell ref="H35:I35"/>
    <mergeCell ref="B36:D36"/>
    <mergeCell ref="B37:D37"/>
    <mergeCell ref="B38:D38"/>
    <mergeCell ref="B39:D39"/>
    <mergeCell ref="B32:D32"/>
    <mergeCell ref="G32:I32"/>
    <mergeCell ref="B41:D41"/>
    <mergeCell ref="Z12:AA12"/>
    <mergeCell ref="Z13:AA13"/>
    <mergeCell ref="Z14:AA14"/>
    <mergeCell ref="Z15:AA15"/>
    <mergeCell ref="Z16:AA16"/>
    <mergeCell ref="B40:D40"/>
    <mergeCell ref="G40:I40"/>
    <mergeCell ref="B27:E27"/>
    <mergeCell ref="B33:D33"/>
    <mergeCell ref="H33:I33"/>
    <mergeCell ref="B34:D34"/>
    <mergeCell ref="H34:I34"/>
    <mergeCell ref="B31:D31"/>
    <mergeCell ref="B19:E19"/>
    <mergeCell ref="B20:E20"/>
    <mergeCell ref="B21:E21"/>
    <mergeCell ref="B42:D42"/>
    <mergeCell ref="B28:E28"/>
    <mergeCell ref="B29:E29"/>
    <mergeCell ref="B24:E24"/>
    <mergeCell ref="B25:E25"/>
    <mergeCell ref="B26:E26"/>
  </mergeCells>
  <conditionalFormatting sqref="B5">
    <cfRule type="containsText" dxfId="194" priority="1" operator="containsText" text="Terminé">
      <formula>NOT(ISERROR(SEARCH("Terminé",B5)))</formula>
    </cfRule>
    <cfRule type="containsText" dxfId="193" priority="2" operator="containsText" text="En cours">
      <formula>NOT(ISERROR(SEARCH("En cours",B5)))</formula>
    </cfRule>
    <cfRule type="containsText" dxfId="19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9"/>
  <sheetViews>
    <sheetView topLeftCell="B6"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73</v>
      </c>
      <c r="C2" s="1068"/>
      <c r="D2" s="1068"/>
      <c r="E2" s="1068"/>
      <c r="F2" s="7"/>
      <c r="G2" s="986" t="s">
        <v>751</v>
      </c>
      <c r="H2" s="986"/>
    </row>
    <row r="3" spans="1:28" ht="19.5" customHeight="1" x14ac:dyDescent="0.25">
      <c r="A3" s="442" t="s">
        <v>743</v>
      </c>
      <c r="B3" s="987" t="s">
        <v>457</v>
      </c>
      <c r="C3" s="987"/>
      <c r="D3" s="987"/>
      <c r="E3" s="987"/>
      <c r="F3" s="7"/>
      <c r="G3" s="986" t="s">
        <v>752</v>
      </c>
      <c r="H3" s="986"/>
    </row>
    <row r="4" spans="1:28" ht="19.5" customHeight="1" x14ac:dyDescent="0.25">
      <c r="A4" s="443" t="s">
        <v>292</v>
      </c>
      <c r="B4" s="996" t="s">
        <v>37</v>
      </c>
      <c r="C4" s="996"/>
      <c r="D4" s="996"/>
      <c r="E4" s="996"/>
      <c r="F4" s="7"/>
      <c r="G4" s="986" t="s">
        <v>753</v>
      </c>
      <c r="H4" s="986"/>
    </row>
    <row r="5" spans="1:28" ht="19.5" customHeight="1" x14ac:dyDescent="0.25">
      <c r="A5" s="443" t="s">
        <v>16</v>
      </c>
      <c r="B5" s="1015" t="s">
        <v>20</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46"/>
      <c r="J7" s="446"/>
      <c r="Z7" s="444"/>
      <c r="AA7" s="445"/>
      <c r="AB7" s="357"/>
    </row>
    <row r="8" spans="1:28" ht="24" customHeight="1" x14ac:dyDescent="0.25">
      <c r="A8" s="451" t="s">
        <v>1</v>
      </c>
      <c r="B8" s="1105" t="s">
        <v>127</v>
      </c>
      <c r="C8" s="1105"/>
      <c r="D8" s="1105"/>
      <c r="E8" s="1105"/>
      <c r="G8" s="997" t="s">
        <v>936</v>
      </c>
      <c r="N8" s="60" t="s">
        <v>142</v>
      </c>
      <c r="O8" s="60" t="s">
        <v>119</v>
      </c>
      <c r="Z8" s="1028" t="s">
        <v>611</v>
      </c>
      <c r="AA8" s="1029"/>
      <c r="AB8" s="357">
        <v>0.26819999999999999</v>
      </c>
    </row>
    <row r="9" spans="1:28" ht="24" customHeight="1" x14ac:dyDescent="0.25">
      <c r="A9" s="451" t="s">
        <v>0</v>
      </c>
      <c r="B9" s="967" t="s">
        <v>528</v>
      </c>
      <c r="C9" s="967"/>
      <c r="D9" s="967"/>
      <c r="E9" s="967"/>
      <c r="G9" s="997"/>
      <c r="N9" s="60">
        <v>0.24</v>
      </c>
      <c r="O9" s="60">
        <v>0.27700000000000002</v>
      </c>
      <c r="Z9" s="1028" t="s">
        <v>612</v>
      </c>
      <c r="AA9" s="1029"/>
      <c r="AB9" s="357">
        <v>3.1300000000000001E-2</v>
      </c>
    </row>
    <row r="10" spans="1:28" ht="36.75" customHeight="1" x14ac:dyDescent="0.25">
      <c r="A10" s="451" t="s">
        <v>2</v>
      </c>
      <c r="B10" s="1034"/>
      <c r="C10" s="1034"/>
      <c r="D10" s="1034"/>
      <c r="E10" s="1034"/>
      <c r="G10" s="997"/>
      <c r="H10" s="7"/>
      <c r="Z10" s="1028"/>
      <c r="AA10" s="1029"/>
      <c r="AB10" s="357"/>
    </row>
    <row r="11" spans="1:28" ht="35.25" customHeight="1" x14ac:dyDescent="0.25">
      <c r="A11" s="451" t="s">
        <v>29</v>
      </c>
      <c r="B11" s="1035"/>
      <c r="C11" s="1035"/>
      <c r="D11" s="1035"/>
      <c r="E11" s="1035"/>
      <c r="G11" s="225">
        <f>SUM(J17:J30)</f>
        <v>0</v>
      </c>
      <c r="H11" s="131" t="s">
        <v>521</v>
      </c>
      <c r="Z11" s="1028" t="s">
        <v>613</v>
      </c>
      <c r="AA11" s="1029"/>
      <c r="AB11" s="357">
        <v>0.26819999999999999</v>
      </c>
    </row>
    <row r="12" spans="1:28" ht="30" customHeight="1" x14ac:dyDescent="0.25">
      <c r="A12" s="451" t="s">
        <v>14</v>
      </c>
      <c r="B12" s="1010" t="s">
        <v>939</v>
      </c>
      <c r="C12" s="1010"/>
      <c r="D12" s="1010"/>
      <c r="E12" s="1010"/>
      <c r="G12" s="439">
        <f>SUM(K17:K30)</f>
        <v>0</v>
      </c>
      <c r="H12" s="185" t="s">
        <v>522</v>
      </c>
      <c r="Z12" s="1028" t="s">
        <v>614</v>
      </c>
      <c r="AA12" s="1029"/>
      <c r="AB12" s="357">
        <v>1.18E-2</v>
      </c>
    </row>
    <row r="13" spans="1:28" ht="30" customHeight="1" x14ac:dyDescent="0.25">
      <c r="A13" s="451" t="s">
        <v>3</v>
      </c>
      <c r="B13" s="1011" t="s">
        <v>943</v>
      </c>
      <c r="C13" s="1011"/>
      <c r="D13" s="1011"/>
      <c r="E13" s="1011"/>
      <c r="G13" s="439">
        <f>SUM(L17:L30)</f>
        <v>0</v>
      </c>
      <c r="H13" s="439" t="s">
        <v>523</v>
      </c>
      <c r="Z13" s="1028" t="s">
        <v>615</v>
      </c>
      <c r="AA13" s="1029"/>
      <c r="AB13" s="358">
        <f>AB15/0.55</f>
        <v>0.50363636363636366</v>
      </c>
    </row>
    <row r="14" spans="1:28" ht="30" customHeight="1" thickBot="1" x14ac:dyDescent="0.3">
      <c r="A14" s="451" t="s">
        <v>15</v>
      </c>
      <c r="B14" s="1010"/>
      <c r="C14" s="1010"/>
      <c r="D14" s="1010"/>
      <c r="E14" s="1010"/>
      <c r="Z14" s="1028" t="s">
        <v>616</v>
      </c>
      <c r="AA14" s="1029"/>
      <c r="AB14" s="357">
        <v>0.26819999999999999</v>
      </c>
    </row>
    <row r="15" spans="1:28" ht="30" customHeight="1" thickTop="1" x14ac:dyDescent="0.25">
      <c r="A15" s="451" t="s">
        <v>4</v>
      </c>
      <c r="B15" s="1010"/>
      <c r="C15" s="1010"/>
      <c r="D15" s="1010"/>
      <c r="E15" s="1010"/>
      <c r="G15" s="447" t="s">
        <v>936</v>
      </c>
      <c r="H15" s="448"/>
      <c r="I15" s="448"/>
      <c r="J15" s="448"/>
      <c r="K15" s="448"/>
      <c r="L15" s="449"/>
      <c r="Z15" s="1028" t="s">
        <v>578</v>
      </c>
      <c r="AA15" s="1029"/>
      <c r="AB15" s="357">
        <v>0.27700000000000002</v>
      </c>
    </row>
    <row r="16" spans="1:28" ht="30" customHeight="1" x14ac:dyDescent="0.25">
      <c r="A16" s="451" t="s">
        <v>5</v>
      </c>
      <c r="B16" s="1010"/>
      <c r="C16" s="1010"/>
      <c r="D16" s="1010"/>
      <c r="E16" s="1010"/>
      <c r="G16" s="246" t="s">
        <v>517</v>
      </c>
      <c r="H16" s="247" t="s">
        <v>518</v>
      </c>
      <c r="I16" s="247" t="s">
        <v>519</v>
      </c>
      <c r="J16" s="249" t="s">
        <v>524</v>
      </c>
      <c r="K16" s="247" t="s">
        <v>520</v>
      </c>
      <c r="L16" s="248" t="s">
        <v>200</v>
      </c>
      <c r="Z16" s="1028" t="s">
        <v>579</v>
      </c>
      <c r="AA16" s="1029"/>
      <c r="AB16" s="357">
        <v>0.20269999999999999</v>
      </c>
    </row>
    <row r="17" spans="1:12" ht="30" customHeight="1" x14ac:dyDescent="0.25">
      <c r="A17" s="451" t="s">
        <v>6</v>
      </c>
      <c r="B17" s="1000">
        <f>SUM(G12:L12)</f>
        <v>0</v>
      </c>
      <c r="C17" s="1000"/>
      <c r="D17" s="1000"/>
      <c r="E17" s="1000"/>
      <c r="G17" s="238"/>
      <c r="H17" s="237"/>
      <c r="I17" s="234"/>
      <c r="J17" s="214"/>
      <c r="K17" s="234"/>
      <c r="L17" s="239"/>
    </row>
    <row r="18" spans="1:12" ht="30" customHeight="1" x14ac:dyDescent="0.25">
      <c r="A18" s="451" t="s">
        <v>7</v>
      </c>
      <c r="B18" s="1000">
        <f>SUM(G13:L13)</f>
        <v>0</v>
      </c>
      <c r="C18" s="1000"/>
      <c r="D18" s="1000"/>
      <c r="E18" s="1000"/>
      <c r="G18" s="238"/>
      <c r="H18" s="237"/>
      <c r="I18" s="234"/>
      <c r="J18" s="214"/>
      <c r="K18" s="234"/>
      <c r="L18" s="239"/>
    </row>
    <row r="19" spans="1:12" ht="30" customHeight="1" x14ac:dyDescent="0.25">
      <c r="A19" s="99" t="s">
        <v>307</v>
      </c>
      <c r="B19" s="1039">
        <f>G11</f>
        <v>0</v>
      </c>
      <c r="C19" s="1040"/>
      <c r="D19" s="1040"/>
      <c r="E19" s="1040"/>
      <c r="F19" s="33"/>
      <c r="G19" s="240"/>
      <c r="H19" s="237"/>
      <c r="I19" s="234"/>
      <c r="J19" s="214"/>
      <c r="K19" s="234"/>
      <c r="L19" s="239"/>
    </row>
    <row r="20" spans="1:12" ht="30" customHeight="1" x14ac:dyDescent="0.25">
      <c r="A20" s="96" t="s">
        <v>306</v>
      </c>
      <c r="B20" s="1041"/>
      <c r="C20" s="1042"/>
      <c r="D20" s="1042"/>
      <c r="E20" s="1042"/>
      <c r="G20" s="238"/>
      <c r="H20" s="237"/>
      <c r="I20" s="234"/>
      <c r="J20" s="214"/>
      <c r="K20" s="234"/>
      <c r="L20" s="239"/>
    </row>
    <row r="21" spans="1:12" ht="30" customHeight="1" x14ac:dyDescent="0.25">
      <c r="A21" s="451" t="s">
        <v>8</v>
      </c>
      <c r="B21" s="1000">
        <f>B19*N9</f>
        <v>0</v>
      </c>
      <c r="C21" s="1000"/>
      <c r="D21" s="1000"/>
      <c r="E21" s="1000"/>
      <c r="G21" s="238"/>
      <c r="H21" s="237"/>
      <c r="I21" s="234"/>
      <c r="J21" s="214"/>
      <c r="K21" s="234"/>
      <c r="L21" s="239"/>
    </row>
    <row r="22" spans="1:12" ht="30" customHeight="1" x14ac:dyDescent="0.25">
      <c r="A22" s="451" t="s">
        <v>9</v>
      </c>
      <c r="B22" s="1000">
        <f>B20/1000*L11*4</f>
        <v>0</v>
      </c>
      <c r="C22" s="1000"/>
      <c r="D22" s="1000"/>
      <c r="E22" s="1000"/>
      <c r="G22" s="238"/>
      <c r="H22" s="237"/>
      <c r="I22" s="234"/>
      <c r="J22" s="214"/>
      <c r="K22" s="234"/>
      <c r="L22" s="239"/>
    </row>
    <row r="23" spans="1:12" ht="30" customHeight="1" x14ac:dyDescent="0.25">
      <c r="A23" s="451" t="s">
        <v>301</v>
      </c>
      <c r="B23" s="1016" t="e">
        <f>B17/(B21+B22)</f>
        <v>#DIV/0!</v>
      </c>
      <c r="C23" s="1016"/>
      <c r="D23" s="1016"/>
      <c r="E23" s="1016"/>
      <c r="G23" s="238"/>
      <c r="H23" s="237"/>
      <c r="I23" s="234"/>
      <c r="J23" s="214"/>
      <c r="K23" s="234"/>
      <c r="L23" s="239"/>
    </row>
    <row r="24" spans="1:12" ht="30" customHeight="1" x14ac:dyDescent="0.25">
      <c r="A24" s="451" t="s">
        <v>302</v>
      </c>
      <c r="B24" s="1017" t="e">
        <f>(B17-B18)/(B21+B22)</f>
        <v>#DIV/0!</v>
      </c>
      <c r="C24" s="1017"/>
      <c r="D24" s="1017"/>
      <c r="E24" s="1017"/>
      <c r="G24" s="238"/>
      <c r="H24" s="237"/>
      <c r="I24" s="234"/>
      <c r="J24" s="214"/>
      <c r="K24" s="234"/>
      <c r="L24" s="239"/>
    </row>
    <row r="25" spans="1:12" ht="30" customHeight="1" x14ac:dyDescent="0.25">
      <c r="A25" s="100" t="s">
        <v>305</v>
      </c>
      <c r="B25" s="1070">
        <f>B19/1000*O9</f>
        <v>0</v>
      </c>
      <c r="C25" s="1070"/>
      <c r="D25" s="1070"/>
      <c r="E25" s="1070"/>
      <c r="G25" s="238"/>
      <c r="H25" s="237"/>
      <c r="I25" s="234"/>
      <c r="J25" s="214"/>
      <c r="K25" s="234"/>
      <c r="L25" s="239"/>
    </row>
    <row r="26" spans="1:12" ht="30" customHeight="1" x14ac:dyDescent="0.25">
      <c r="A26" s="101" t="s">
        <v>303</v>
      </c>
      <c r="B26" s="1071">
        <f>B25/'Objectifs CO2'!C6</f>
        <v>0</v>
      </c>
      <c r="C26" s="1071"/>
      <c r="D26" s="1071"/>
      <c r="E26" s="1071"/>
      <c r="G26" s="238"/>
      <c r="H26" s="237"/>
      <c r="I26" s="234"/>
      <c r="J26" s="214"/>
      <c r="K26" s="234"/>
      <c r="L26" s="239"/>
    </row>
    <row r="27" spans="1:12" ht="30" customHeight="1" x14ac:dyDescent="0.25">
      <c r="A27" s="101" t="s">
        <v>304</v>
      </c>
      <c r="B27" s="1056">
        <f>B25/'Objectifs CO2'!C4</f>
        <v>0</v>
      </c>
      <c r="C27" s="1057"/>
      <c r="D27" s="1057"/>
      <c r="E27" s="1057"/>
      <c r="G27" s="241"/>
      <c r="H27" s="237"/>
      <c r="I27" s="234"/>
      <c r="J27" s="214"/>
      <c r="K27" s="234"/>
      <c r="L27" s="239"/>
    </row>
    <row r="28" spans="1:12" ht="30" customHeight="1" x14ac:dyDescent="0.25">
      <c r="A28" s="101" t="s">
        <v>22</v>
      </c>
      <c r="B28" s="999" t="s">
        <v>10</v>
      </c>
      <c r="C28" s="999"/>
      <c r="D28" s="999"/>
      <c r="E28" s="999"/>
      <c r="G28" s="242"/>
      <c r="H28" s="234"/>
      <c r="I28" s="234"/>
      <c r="J28" s="214"/>
      <c r="K28" s="234"/>
      <c r="L28" s="239"/>
    </row>
    <row r="29" spans="1:12" ht="30" customHeight="1" x14ac:dyDescent="0.25">
      <c r="A29" s="101" t="s">
        <v>257</v>
      </c>
      <c r="B29" s="999"/>
      <c r="C29" s="999"/>
      <c r="D29" s="999"/>
      <c r="E29" s="999"/>
      <c r="G29" s="242"/>
      <c r="H29" s="234"/>
      <c r="I29" s="234"/>
      <c r="J29" s="214"/>
      <c r="K29" s="234"/>
      <c r="L29" s="239"/>
    </row>
    <row r="30" spans="1:12" ht="15.75" thickBot="1" x14ac:dyDescent="0.3">
      <c r="G30" s="243"/>
      <c r="H30" s="244"/>
      <c r="I30" s="244"/>
      <c r="J30" s="250"/>
      <c r="K30" s="244"/>
      <c r="L30" s="245"/>
    </row>
    <row r="31" spans="1:12" ht="15.75" thickTop="1" x14ac:dyDescent="0.25">
      <c r="A31" s="603" t="s">
        <v>1065</v>
      </c>
      <c r="B31" s="1003" t="s">
        <v>675</v>
      </c>
      <c r="C31" s="1003"/>
      <c r="D31" s="1003"/>
      <c r="E31" s="439" t="s">
        <v>676</v>
      </c>
      <c r="J31" s="231"/>
      <c r="K31" s="231"/>
      <c r="L31" s="231"/>
    </row>
    <row r="32" spans="1:12" x14ac:dyDescent="0.25">
      <c r="A32" s="377"/>
      <c r="B32" s="992" t="s">
        <v>677</v>
      </c>
      <c r="C32" s="992"/>
      <c r="D32" s="992"/>
      <c r="E32" s="374"/>
      <c r="G32" s="1004" t="s">
        <v>676</v>
      </c>
      <c r="H32" s="1004"/>
      <c r="I32" s="1004"/>
      <c r="J32" s="231"/>
      <c r="K32" s="231"/>
      <c r="L32" s="231"/>
    </row>
    <row r="33" spans="1:31" x14ac:dyDescent="0.25">
      <c r="A33" s="377"/>
      <c r="B33" s="992" t="s">
        <v>678</v>
      </c>
      <c r="C33" s="992"/>
      <c r="D33" s="992"/>
      <c r="E33" s="374"/>
      <c r="G33" s="375">
        <v>3</v>
      </c>
      <c r="H33" s="1004" t="s">
        <v>679</v>
      </c>
      <c r="I33" s="1004"/>
    </row>
    <row r="34" spans="1:31" x14ac:dyDescent="0.25">
      <c r="A34" s="377"/>
      <c r="B34" s="992" t="s">
        <v>680</v>
      </c>
      <c r="C34" s="992"/>
      <c r="D34" s="992"/>
      <c r="E34" s="374"/>
      <c r="G34" s="375">
        <v>2</v>
      </c>
      <c r="H34" s="1004" t="s">
        <v>681</v>
      </c>
      <c r="I34" s="1004"/>
    </row>
    <row r="35" spans="1:31" x14ac:dyDescent="0.25">
      <c r="A35" s="377"/>
      <c r="B35" s="992" t="s">
        <v>682</v>
      </c>
      <c r="C35" s="992"/>
      <c r="D35" s="992"/>
      <c r="E35" s="374"/>
      <c r="G35" s="375">
        <v>1</v>
      </c>
      <c r="H35" s="1004" t="s">
        <v>683</v>
      </c>
      <c r="I35" s="1004"/>
    </row>
    <row r="36" spans="1:31" x14ac:dyDescent="0.25">
      <c r="A36" s="377"/>
      <c r="B36" s="992" t="s">
        <v>684</v>
      </c>
      <c r="C36" s="992"/>
      <c r="D36" s="992"/>
      <c r="E36" s="374"/>
      <c r="S36" s="227" t="s">
        <v>508</v>
      </c>
      <c r="T36" s="228"/>
      <c r="V36" s="227" t="s">
        <v>509</v>
      </c>
      <c r="Z36" s="227" t="s">
        <v>510</v>
      </c>
      <c r="AA36" s="228"/>
      <c r="AD36" s="227" t="s">
        <v>936</v>
      </c>
      <c r="AE36" s="228"/>
    </row>
    <row r="37" spans="1:31" x14ac:dyDescent="0.25">
      <c r="A37" s="377"/>
      <c r="B37" s="992" t="s">
        <v>685</v>
      </c>
      <c r="C37" s="992"/>
      <c r="D37" s="992"/>
      <c r="E37" s="374"/>
      <c r="S37" s="230" t="s">
        <v>515</v>
      </c>
      <c r="T37" s="230">
        <v>67</v>
      </c>
      <c r="U37" s="231"/>
      <c r="V37" s="229"/>
      <c r="W37" s="231"/>
      <c r="X37" s="231"/>
      <c r="Y37" s="231"/>
      <c r="Z37" s="229"/>
      <c r="AA37" s="230"/>
      <c r="AB37" s="231"/>
      <c r="AC37" s="231"/>
      <c r="AD37" s="229"/>
      <c r="AE37" s="230"/>
    </row>
    <row r="38" spans="1:31" x14ac:dyDescent="0.25">
      <c r="A38" s="377"/>
      <c r="B38" s="992" t="s">
        <v>686</v>
      </c>
      <c r="C38" s="992"/>
      <c r="D38" s="992"/>
      <c r="E38" s="374"/>
      <c r="S38" s="230" t="s">
        <v>516</v>
      </c>
      <c r="T38" s="230">
        <v>85</v>
      </c>
      <c r="U38" s="231"/>
      <c r="V38" s="229"/>
      <c r="W38" s="231"/>
      <c r="X38" s="231"/>
      <c r="Y38" s="231"/>
      <c r="Z38" s="229"/>
      <c r="AA38" s="230"/>
      <c r="AB38" s="231"/>
      <c r="AC38" s="231"/>
      <c r="AD38" s="229"/>
      <c r="AE38" s="230"/>
    </row>
    <row r="39" spans="1:31" x14ac:dyDescent="0.25">
      <c r="A39" s="377"/>
      <c r="B39" s="992" t="s">
        <v>687</v>
      </c>
      <c r="C39" s="992"/>
      <c r="D39" s="992"/>
      <c r="E39" s="374"/>
      <c r="S39" s="232"/>
      <c r="T39" s="232"/>
      <c r="U39" s="231"/>
      <c r="V39" s="229"/>
      <c r="W39" s="231"/>
      <c r="X39" s="231"/>
      <c r="Y39" s="231"/>
      <c r="Z39" s="232"/>
      <c r="AA39" s="232"/>
      <c r="AB39" s="231"/>
      <c r="AC39" s="231"/>
      <c r="AD39" s="229"/>
      <c r="AE39" s="230"/>
    </row>
    <row r="40" spans="1:31" x14ac:dyDescent="0.25">
      <c r="A40" s="377"/>
      <c r="B40" s="992" t="s">
        <v>688</v>
      </c>
      <c r="C40" s="992"/>
      <c r="D40" s="992"/>
      <c r="E40" s="374"/>
      <c r="G40" s="1005" t="s">
        <v>689</v>
      </c>
      <c r="H40" s="1005"/>
      <c r="I40" s="1005"/>
      <c r="S40" s="232"/>
      <c r="T40" s="232"/>
      <c r="U40" s="231"/>
      <c r="V40" s="229"/>
      <c r="W40" s="231"/>
      <c r="X40" s="231"/>
      <c r="Y40" s="231"/>
      <c r="Z40" s="232"/>
      <c r="AA40" s="232"/>
      <c r="AB40" s="231"/>
      <c r="AC40" s="231"/>
      <c r="AD40" s="229"/>
      <c r="AE40" s="230"/>
    </row>
    <row r="41" spans="1:31" x14ac:dyDescent="0.25">
      <c r="A41" s="377"/>
      <c r="B41" s="992" t="s">
        <v>843</v>
      </c>
      <c r="C41" s="992"/>
      <c r="D41" s="992"/>
      <c r="E41" s="374"/>
      <c r="G41" s="377" t="s">
        <v>690</v>
      </c>
      <c r="H41" s="378" t="s">
        <v>691</v>
      </c>
      <c r="I41" s="377" t="s">
        <v>692</v>
      </c>
      <c r="S41" s="232"/>
      <c r="T41" s="232"/>
      <c r="U41" s="231"/>
      <c r="V41" s="232"/>
      <c r="W41" s="231"/>
      <c r="X41" s="231"/>
      <c r="Y41" s="231"/>
      <c r="Z41" s="232"/>
      <c r="AA41" s="232"/>
      <c r="AB41" s="231"/>
      <c r="AC41" s="231"/>
      <c r="AD41" s="233"/>
      <c r="AE41" s="232"/>
    </row>
    <row r="42" spans="1:31" x14ac:dyDescent="0.25">
      <c r="A42" s="377"/>
      <c r="B42" s="988" t="s">
        <v>247</v>
      </c>
      <c r="C42" s="988"/>
      <c r="D42" s="988"/>
      <c r="E42" s="376">
        <f>SUM(E32:E40)</f>
        <v>0</v>
      </c>
      <c r="G42" s="377" t="s">
        <v>693</v>
      </c>
      <c r="H42" s="377" t="s">
        <v>694</v>
      </c>
      <c r="I42" s="377" t="s">
        <v>695</v>
      </c>
      <c r="S42" s="232"/>
      <c r="T42" s="232"/>
      <c r="U42" s="231"/>
      <c r="V42" s="232"/>
      <c r="W42" s="231"/>
      <c r="X42" s="231"/>
      <c r="Y42" s="231"/>
      <c r="Z42" s="232"/>
      <c r="AA42" s="232"/>
      <c r="AB42" s="231"/>
      <c r="AC42" s="231"/>
      <c r="AD42" s="233"/>
      <c r="AE42" s="232"/>
    </row>
    <row r="43" spans="1:31" x14ac:dyDescent="0.25">
      <c r="A43" s="497"/>
      <c r="E43" s="94" t="s">
        <v>730</v>
      </c>
      <c r="S43" s="234"/>
      <c r="T43" s="234"/>
      <c r="U43" s="231"/>
      <c r="V43" s="234"/>
      <c r="W43" s="231"/>
      <c r="X43" s="231"/>
      <c r="Y43" s="231"/>
      <c r="Z43" s="234"/>
      <c r="AA43" s="234"/>
      <c r="AB43" s="231"/>
      <c r="AC43" s="231"/>
      <c r="AD43" s="235"/>
      <c r="AE43" s="234"/>
    </row>
    <row r="44" spans="1:31" x14ac:dyDescent="0.25">
      <c r="A44" s="497"/>
      <c r="B44" s="989" t="s">
        <v>696</v>
      </c>
      <c r="C44" s="990"/>
      <c r="D44" s="991"/>
      <c r="E44" s="267">
        <v>1</v>
      </c>
      <c r="G44" s="377">
        <v>1</v>
      </c>
      <c r="H44" s="377" t="s">
        <v>697</v>
      </c>
      <c r="S44" s="234"/>
      <c r="T44" s="234"/>
      <c r="U44" s="231"/>
      <c r="V44" s="234"/>
      <c r="W44" s="231"/>
      <c r="X44" s="231"/>
      <c r="Y44" s="231"/>
      <c r="Z44" s="234"/>
      <c r="AA44" s="234"/>
      <c r="AB44" s="231"/>
      <c r="AC44" s="231"/>
      <c r="AD44" s="235"/>
      <c r="AE44" s="234"/>
    </row>
    <row r="45" spans="1:31" x14ac:dyDescent="0.25">
      <c r="G45" s="377">
        <v>0</v>
      </c>
      <c r="H45" s="377" t="s">
        <v>698</v>
      </c>
      <c r="S45" s="234"/>
      <c r="T45" s="234"/>
      <c r="U45" s="231"/>
      <c r="V45" s="234"/>
      <c r="W45" s="231"/>
      <c r="X45" s="231"/>
      <c r="Y45" s="231"/>
      <c r="Z45" s="234"/>
      <c r="AA45" s="234"/>
      <c r="AB45" s="231"/>
      <c r="AC45" s="231"/>
      <c r="AD45" s="235"/>
      <c r="AE45" s="234"/>
    </row>
    <row r="46" spans="1:31" x14ac:dyDescent="0.25">
      <c r="G46" s="1022" t="s">
        <v>965</v>
      </c>
      <c r="H46" s="1022"/>
      <c r="I46" s="1022"/>
      <c r="J46" s="1022"/>
      <c r="K46" s="1022"/>
      <c r="L46" s="1022"/>
      <c r="S46" s="234"/>
      <c r="T46" s="234"/>
      <c r="U46" s="231"/>
      <c r="V46" s="234"/>
      <c r="W46" s="231"/>
      <c r="X46" s="231"/>
      <c r="Y46" s="231"/>
      <c r="Z46" s="234"/>
      <c r="AA46" s="234"/>
      <c r="AB46" s="231"/>
      <c r="AC46" s="231"/>
      <c r="AD46" s="235"/>
      <c r="AE46" s="234"/>
    </row>
    <row r="47" spans="1:31" x14ac:dyDescent="0.25">
      <c r="A47" s="959" t="s">
        <v>966</v>
      </c>
      <c r="B47" s="1022"/>
      <c r="C47" s="1022"/>
      <c r="D47" s="1022"/>
      <c r="E47" s="1022"/>
      <c r="F47" s="1022"/>
      <c r="G47" s="1022"/>
      <c r="H47" s="1022"/>
      <c r="I47" s="1022"/>
      <c r="J47" s="1022"/>
      <c r="K47" s="1022"/>
      <c r="L47" s="1022"/>
      <c r="S47" s="234"/>
      <c r="T47" s="234"/>
      <c r="U47" s="231"/>
      <c r="V47" s="234"/>
      <c r="W47" s="231"/>
      <c r="X47" s="231"/>
      <c r="Y47" s="231"/>
      <c r="Z47" s="234"/>
      <c r="AA47" s="234"/>
      <c r="AB47" s="231"/>
      <c r="AC47" s="231"/>
      <c r="AD47" s="235"/>
      <c r="AE47" s="234"/>
    </row>
    <row r="48" spans="1:31" x14ac:dyDescent="0.25">
      <c r="A48" s="959"/>
      <c r="B48" s="1022"/>
      <c r="C48" s="1022"/>
      <c r="D48" s="1022"/>
      <c r="E48" s="1022"/>
      <c r="F48" s="1022"/>
      <c r="G48" s="1022"/>
      <c r="H48" s="1022"/>
      <c r="I48" s="1022"/>
      <c r="J48" s="1022"/>
      <c r="K48" s="1022"/>
      <c r="L48" s="1022"/>
      <c r="S48" s="234"/>
      <c r="T48" s="234"/>
      <c r="U48" s="231"/>
      <c r="V48" s="234"/>
      <c r="W48" s="231"/>
      <c r="X48" s="231"/>
      <c r="Y48" s="231"/>
      <c r="Z48" s="234"/>
      <c r="AA48" s="234"/>
      <c r="AB48" s="231"/>
      <c r="AC48" s="231"/>
      <c r="AD48" s="235"/>
      <c r="AE48" s="234"/>
    </row>
    <row r="49" spans="1:31" x14ac:dyDescent="0.25">
      <c r="A49" s="959"/>
      <c r="B49" s="1022"/>
      <c r="C49" s="1022"/>
      <c r="D49" s="1022"/>
      <c r="E49" s="1022"/>
      <c r="F49" s="1022"/>
      <c r="G49" s="1022"/>
      <c r="H49" s="1022"/>
      <c r="I49" s="1022"/>
      <c r="J49" s="1022"/>
      <c r="K49" s="1022"/>
      <c r="L49" s="1022"/>
      <c r="S49" s="234"/>
      <c r="T49" s="234"/>
      <c r="U49" s="231"/>
      <c r="V49" s="234"/>
      <c r="W49" s="231"/>
      <c r="X49" s="231"/>
      <c r="Y49" s="231"/>
      <c r="Z49" s="234"/>
      <c r="AA49" s="234"/>
      <c r="AB49" s="231"/>
      <c r="AC49" s="231"/>
      <c r="AD49" s="235"/>
      <c r="AE49" s="234"/>
    </row>
    <row r="50" spans="1:31" x14ac:dyDescent="0.25">
      <c r="A50" s="959"/>
      <c r="B50" s="1022"/>
      <c r="C50" s="1022"/>
      <c r="D50" s="1022"/>
      <c r="E50" s="1022"/>
      <c r="F50" s="1022"/>
      <c r="G50" s="1022"/>
      <c r="H50" s="1022"/>
      <c r="I50" s="1022"/>
      <c r="J50" s="1022"/>
      <c r="K50" s="1022"/>
      <c r="L50" s="1022"/>
      <c r="S50" s="234"/>
      <c r="T50" s="234"/>
      <c r="U50" s="231"/>
      <c r="V50" s="234"/>
      <c r="W50" s="231"/>
      <c r="X50" s="231"/>
      <c r="Y50" s="231"/>
      <c r="Z50" s="234"/>
      <c r="AA50" s="234"/>
      <c r="AB50" s="231"/>
      <c r="AC50" s="231"/>
      <c r="AD50" s="235"/>
      <c r="AE50" s="234"/>
    </row>
    <row r="51" spans="1:31" x14ac:dyDescent="0.25">
      <c r="A51" s="959"/>
      <c r="B51" s="1022"/>
      <c r="C51" s="1022"/>
      <c r="D51" s="1022"/>
      <c r="E51" s="1022"/>
      <c r="F51" s="1022"/>
      <c r="G51" s="1022"/>
      <c r="H51" s="1022"/>
      <c r="I51" s="1022"/>
      <c r="J51" s="1022"/>
      <c r="K51" s="1022"/>
      <c r="L51" s="1022"/>
      <c r="S51" s="234"/>
      <c r="T51" s="234"/>
      <c r="U51" s="231"/>
      <c r="V51" s="234"/>
      <c r="W51" s="231"/>
      <c r="X51" s="231"/>
      <c r="Y51" s="231"/>
      <c r="Z51" s="234"/>
      <c r="AA51" s="234"/>
      <c r="AB51" s="231"/>
      <c r="AC51" s="231"/>
      <c r="AD51" s="235"/>
      <c r="AE51" s="234"/>
    </row>
    <row r="52" spans="1:31" x14ac:dyDescent="0.25">
      <c r="A52" s="959" t="s">
        <v>967</v>
      </c>
      <c r="B52" s="1022"/>
      <c r="C52" s="1022"/>
      <c r="D52" s="1022"/>
      <c r="E52" s="1022"/>
      <c r="F52" s="1022"/>
      <c r="G52" s="1022"/>
      <c r="H52" s="1022"/>
      <c r="I52" s="1022"/>
      <c r="J52" s="1022"/>
      <c r="K52" s="1022"/>
      <c r="L52" s="1022"/>
    </row>
    <row r="53" spans="1:31" x14ac:dyDescent="0.25">
      <c r="A53" s="959"/>
      <c r="B53" s="1022"/>
      <c r="C53" s="1022"/>
      <c r="D53" s="1022"/>
      <c r="E53" s="1022"/>
      <c r="F53" s="1022"/>
      <c r="G53" s="1022"/>
      <c r="H53" s="1022"/>
      <c r="I53" s="1022"/>
      <c r="J53" s="1022"/>
      <c r="K53" s="1022"/>
      <c r="L53" s="1022"/>
    </row>
    <row r="54" spans="1:31" x14ac:dyDescent="0.25">
      <c r="A54" s="959"/>
      <c r="B54" s="1022"/>
      <c r="C54" s="1022"/>
      <c r="D54" s="1022"/>
      <c r="E54" s="1022"/>
      <c r="F54" s="1022"/>
      <c r="G54" s="1022"/>
      <c r="H54" s="1022"/>
      <c r="I54" s="1022"/>
      <c r="J54" s="1022"/>
      <c r="K54" s="1022"/>
      <c r="L54" s="1022"/>
    </row>
    <row r="55" spans="1:31" x14ac:dyDescent="0.25">
      <c r="A55" s="959"/>
      <c r="B55" s="1022"/>
      <c r="C55" s="1022"/>
      <c r="D55" s="1022"/>
      <c r="E55" s="1022"/>
      <c r="F55" s="1022"/>
      <c r="G55" s="1022"/>
      <c r="H55" s="1022"/>
      <c r="I55" s="1022"/>
      <c r="J55" s="1022"/>
      <c r="K55" s="1022"/>
      <c r="L55" s="1022"/>
    </row>
    <row r="56" spans="1:31" x14ac:dyDescent="0.25">
      <c r="A56" s="959"/>
      <c r="B56" s="1022"/>
      <c r="C56" s="1022"/>
      <c r="D56" s="1022"/>
      <c r="E56" s="1022"/>
      <c r="F56" s="1022"/>
      <c r="G56" s="1022"/>
      <c r="H56" s="1022"/>
      <c r="I56" s="1022"/>
      <c r="J56" s="1022"/>
      <c r="K56" s="1022"/>
      <c r="L56" s="1022"/>
    </row>
    <row r="57" spans="1:31" x14ac:dyDescent="0.25">
      <c r="A57" s="959"/>
      <c r="B57" s="1022"/>
      <c r="C57" s="1022"/>
      <c r="D57" s="1022"/>
      <c r="E57" s="1022"/>
      <c r="F57" s="1022"/>
      <c r="G57" s="1022"/>
      <c r="H57" s="1022"/>
      <c r="I57" s="1022"/>
      <c r="J57" s="1022"/>
      <c r="K57" s="1022"/>
      <c r="L57" s="1022"/>
    </row>
    <row r="58" spans="1:31" x14ac:dyDescent="0.25">
      <c r="A58" s="959"/>
      <c r="B58" s="1022"/>
      <c r="C58" s="1022"/>
      <c r="D58" s="1022"/>
      <c r="E58" s="1022"/>
      <c r="F58" s="1022"/>
      <c r="G58" s="1022"/>
      <c r="H58" s="1022"/>
      <c r="I58" s="1022"/>
      <c r="J58" s="1022"/>
      <c r="K58" s="1022"/>
      <c r="L58" s="1022"/>
    </row>
    <row r="59" spans="1:31" x14ac:dyDescent="0.25">
      <c r="A59" s="959"/>
      <c r="B59" s="1022"/>
      <c r="C59" s="1022"/>
      <c r="D59" s="1022"/>
      <c r="E59" s="1022"/>
      <c r="F59" s="1022"/>
      <c r="G59" s="1022"/>
      <c r="H59" s="1022"/>
      <c r="I59" s="1022"/>
      <c r="J59" s="1022"/>
      <c r="K59" s="1022"/>
      <c r="L59" s="1022"/>
    </row>
    <row r="60" spans="1:31" x14ac:dyDescent="0.25">
      <c r="A60" s="959"/>
      <c r="B60" s="1022"/>
      <c r="C60" s="1022"/>
      <c r="D60" s="1022"/>
      <c r="E60" s="1022"/>
      <c r="F60" s="1022"/>
      <c r="G60" s="1022"/>
      <c r="H60" s="1022"/>
      <c r="I60" s="1022"/>
      <c r="J60" s="1022"/>
      <c r="K60" s="1022"/>
      <c r="L60" s="1022"/>
    </row>
    <row r="61" spans="1:31" x14ac:dyDescent="0.25">
      <c r="A61" s="959"/>
      <c r="B61" s="1022"/>
      <c r="C61" s="1022"/>
      <c r="D61" s="1022"/>
      <c r="E61" s="1022"/>
      <c r="F61" s="1022"/>
      <c r="G61" s="1022"/>
      <c r="H61" s="1022"/>
      <c r="I61" s="1022"/>
      <c r="J61" s="1022"/>
      <c r="K61" s="1022"/>
      <c r="L61" s="1022"/>
    </row>
    <row r="62" spans="1:31" x14ac:dyDescent="0.25">
      <c r="A62" s="959"/>
      <c r="B62" s="1022"/>
      <c r="C62" s="1022"/>
      <c r="D62" s="1022"/>
      <c r="E62" s="1022"/>
      <c r="F62" s="1022"/>
      <c r="G62" s="1022"/>
      <c r="H62" s="1022"/>
      <c r="I62" s="1022"/>
      <c r="J62" s="1022"/>
      <c r="K62" s="1022"/>
      <c r="L62" s="1022"/>
    </row>
    <row r="63" spans="1:31" x14ac:dyDescent="0.25">
      <c r="A63" s="959" t="s">
        <v>968</v>
      </c>
      <c r="B63" s="1022"/>
      <c r="C63" s="1022"/>
      <c r="D63" s="1022"/>
      <c r="E63" s="1022"/>
      <c r="F63" s="1022"/>
      <c r="G63" s="1022"/>
      <c r="H63" s="1022"/>
      <c r="I63" s="1022"/>
      <c r="J63" s="1022"/>
      <c r="K63" s="1022"/>
      <c r="L63" s="1022"/>
    </row>
    <row r="64" spans="1:31"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B6:E6"/>
    <mergeCell ref="G6:H6"/>
    <mergeCell ref="B7:E7"/>
    <mergeCell ref="G7:H7"/>
    <mergeCell ref="G8:G10"/>
    <mergeCell ref="B9:E9"/>
    <mergeCell ref="B10:E10"/>
    <mergeCell ref="B11:E11"/>
    <mergeCell ref="B12:E12"/>
    <mergeCell ref="B18:E18"/>
    <mergeCell ref="B8:E8"/>
    <mergeCell ref="B13:E13"/>
    <mergeCell ref="B14:E14"/>
    <mergeCell ref="B15:E15"/>
    <mergeCell ref="B16:E16"/>
    <mergeCell ref="B17:E17"/>
    <mergeCell ref="B22:E22"/>
    <mergeCell ref="B23:E23"/>
    <mergeCell ref="B44:D44"/>
    <mergeCell ref="Z5:AB5"/>
    <mergeCell ref="Z6:AA6"/>
    <mergeCell ref="Z8:AA8"/>
    <mergeCell ref="Z9:AA9"/>
    <mergeCell ref="Z10:AA10"/>
    <mergeCell ref="Z11:AA11"/>
    <mergeCell ref="B35:D35"/>
    <mergeCell ref="H35:I35"/>
    <mergeCell ref="B36:D36"/>
    <mergeCell ref="B37:D37"/>
    <mergeCell ref="B38:D38"/>
    <mergeCell ref="B39:D39"/>
    <mergeCell ref="B32:D32"/>
    <mergeCell ref="G32:I32"/>
    <mergeCell ref="B41:D41"/>
    <mergeCell ref="Z12:AA12"/>
    <mergeCell ref="Z13:AA13"/>
    <mergeCell ref="Z14:AA14"/>
    <mergeCell ref="Z15:AA15"/>
    <mergeCell ref="Z16:AA16"/>
    <mergeCell ref="B40:D40"/>
    <mergeCell ref="G40:I40"/>
    <mergeCell ref="B27:E27"/>
    <mergeCell ref="B33:D33"/>
    <mergeCell ref="H33:I33"/>
    <mergeCell ref="B34:D34"/>
    <mergeCell ref="H34:I34"/>
    <mergeCell ref="B31:D31"/>
    <mergeCell ref="B19:E19"/>
    <mergeCell ref="B20:E20"/>
    <mergeCell ref="B21:E21"/>
    <mergeCell ref="B42:D42"/>
    <mergeCell ref="B28:E28"/>
    <mergeCell ref="B29:E29"/>
    <mergeCell ref="B24:E24"/>
    <mergeCell ref="B25:E25"/>
    <mergeCell ref="B26:E26"/>
  </mergeCells>
  <conditionalFormatting sqref="B5">
    <cfRule type="containsText" dxfId="191" priority="1" operator="containsText" text="Terminé">
      <formula>NOT(ISERROR(SEARCH("Terminé",B5)))</formula>
    </cfRule>
    <cfRule type="containsText" dxfId="190" priority="2" operator="containsText" text="En cours">
      <formula>NOT(ISERROR(SEARCH("En cours",B5)))</formula>
    </cfRule>
    <cfRule type="containsText" dxfId="18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5"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2" width="11.42578125" style="6"/>
    <col min="13" max="13" width="14" style="6" customWidth="1"/>
    <col min="14"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113</v>
      </c>
      <c r="C2" s="1068"/>
      <c r="D2" s="1068"/>
      <c r="E2" s="1068"/>
      <c r="F2" s="7"/>
      <c r="G2" s="986" t="s">
        <v>751</v>
      </c>
      <c r="H2" s="986"/>
    </row>
    <row r="3" spans="1:28" ht="19.5" customHeight="1" x14ac:dyDescent="0.25">
      <c r="A3" s="609" t="s">
        <v>743</v>
      </c>
      <c r="B3" s="987" t="s">
        <v>457</v>
      </c>
      <c r="C3" s="987"/>
      <c r="D3" s="987"/>
      <c r="E3" s="987"/>
      <c r="F3" s="7"/>
      <c r="G3" s="986" t="s">
        <v>752</v>
      </c>
      <c r="H3" s="986"/>
    </row>
    <row r="4" spans="1:28" ht="19.5" customHeight="1" x14ac:dyDescent="0.25">
      <c r="A4" s="610" t="s">
        <v>292</v>
      </c>
      <c r="B4" s="996" t="s">
        <v>31</v>
      </c>
      <c r="C4" s="996"/>
      <c r="D4" s="996"/>
      <c r="E4" s="996"/>
      <c r="F4" s="7"/>
      <c r="G4" s="986" t="s">
        <v>753</v>
      </c>
      <c r="H4" s="986"/>
    </row>
    <row r="5" spans="1:28" ht="19.5" customHeight="1" x14ac:dyDescent="0.25">
      <c r="A5" s="610"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614"/>
      <c r="J7" s="614"/>
      <c r="Z7" s="612"/>
      <c r="AA7" s="613"/>
      <c r="AB7" s="357"/>
    </row>
    <row r="8" spans="1:28" ht="24" customHeight="1" x14ac:dyDescent="0.25">
      <c r="A8" s="616" t="s">
        <v>1</v>
      </c>
      <c r="B8" s="967" t="s">
        <v>31</v>
      </c>
      <c r="C8" s="967"/>
      <c r="D8" s="967"/>
      <c r="E8" s="967"/>
      <c r="G8" s="997" t="s">
        <v>936</v>
      </c>
      <c r="Z8" s="1028" t="s">
        <v>611</v>
      </c>
      <c r="AA8" s="1029"/>
      <c r="AB8" s="357">
        <v>0.26819999999999999</v>
      </c>
    </row>
    <row r="9" spans="1:28" ht="24" customHeight="1" x14ac:dyDescent="0.25">
      <c r="A9" s="616" t="s">
        <v>0</v>
      </c>
      <c r="B9" s="967" t="s">
        <v>1294</v>
      </c>
      <c r="C9" s="967"/>
      <c r="D9" s="967"/>
      <c r="E9" s="967"/>
      <c r="G9" s="997"/>
      <c r="Z9" s="1028" t="s">
        <v>612</v>
      </c>
      <c r="AA9" s="1029"/>
      <c r="AB9" s="357">
        <v>3.1300000000000001E-2</v>
      </c>
    </row>
    <row r="10" spans="1:28" ht="54" customHeight="1" x14ac:dyDescent="0.25">
      <c r="A10" s="616" t="s">
        <v>2</v>
      </c>
      <c r="B10" s="1034" t="s">
        <v>1113</v>
      </c>
      <c r="C10" s="1035"/>
      <c r="D10" s="1035"/>
      <c r="E10" s="1035"/>
      <c r="G10" s="997"/>
      <c r="M10" s="7"/>
      <c r="Z10" s="1028" t="s">
        <v>1114</v>
      </c>
      <c r="AA10" s="1029"/>
      <c r="AB10" s="357">
        <v>0.2364</v>
      </c>
    </row>
    <row r="11" spans="1:28" ht="54" customHeight="1" x14ac:dyDescent="0.25">
      <c r="A11" s="616" t="s">
        <v>29</v>
      </c>
      <c r="B11" s="1035" t="s">
        <v>1028</v>
      </c>
      <c r="C11" s="1035"/>
      <c r="D11" s="1035"/>
      <c r="E11" s="1035"/>
      <c r="G11" s="254">
        <v>100</v>
      </c>
      <c r="H11" s="131" t="s">
        <v>1296</v>
      </c>
      <c r="Z11" s="1028" t="s">
        <v>613</v>
      </c>
      <c r="AA11" s="1029"/>
      <c r="AB11" s="357">
        <v>0.26819999999999999</v>
      </c>
    </row>
    <row r="12" spans="1:28" ht="30" customHeight="1" x14ac:dyDescent="0.25">
      <c r="A12" s="616" t="s">
        <v>14</v>
      </c>
      <c r="B12" s="1010" t="s">
        <v>607</v>
      </c>
      <c r="C12" s="1010"/>
      <c r="D12" s="1010"/>
      <c r="E12" s="1010"/>
      <c r="Z12" s="1028" t="s">
        <v>614</v>
      </c>
      <c r="AA12" s="1029"/>
      <c r="AB12" s="357">
        <v>1.18E-2</v>
      </c>
    </row>
    <row r="13" spans="1:28" ht="30" customHeight="1" x14ac:dyDescent="0.25">
      <c r="A13" s="616" t="s">
        <v>3</v>
      </c>
      <c r="B13" s="1010"/>
      <c r="C13" s="1010"/>
      <c r="D13" s="1010"/>
      <c r="E13" s="1010"/>
      <c r="G13" s="255" t="s">
        <v>151</v>
      </c>
      <c r="H13" s="615" t="s">
        <v>255</v>
      </c>
      <c r="I13" s="615" t="s">
        <v>256</v>
      </c>
      <c r="J13" s="257" t="s">
        <v>535</v>
      </c>
      <c r="K13" s="615" t="s">
        <v>254</v>
      </c>
      <c r="L13" s="1106"/>
      <c r="N13" s="59" t="s">
        <v>163</v>
      </c>
      <c r="O13" s="59" t="s">
        <v>164</v>
      </c>
      <c r="P13" s="59" t="s">
        <v>149</v>
      </c>
      <c r="Q13" s="60" t="s">
        <v>150</v>
      </c>
      <c r="R13" s="60" t="s">
        <v>165</v>
      </c>
      <c r="S13" s="60" t="s">
        <v>156</v>
      </c>
      <c r="Z13" s="1028" t="s">
        <v>615</v>
      </c>
      <c r="AA13" s="1029"/>
      <c r="AB13" s="358">
        <f>AB15/0.55</f>
        <v>0.50363636363636366</v>
      </c>
    </row>
    <row r="14" spans="1:28" ht="30" customHeight="1" x14ac:dyDescent="0.25">
      <c r="A14" s="616" t="s">
        <v>15</v>
      </c>
      <c r="B14" s="1010"/>
      <c r="C14" s="1010"/>
      <c r="D14" s="1010"/>
      <c r="E14" s="1010"/>
      <c r="G14" s="608">
        <v>3398</v>
      </c>
      <c r="H14" s="256">
        <f>'Objectifs CO2'!Z32</f>
        <v>46882.329252344512</v>
      </c>
      <c r="I14" s="256">
        <f>'Objectifs CO2'!AA32</f>
        <v>4047.431355855701</v>
      </c>
      <c r="J14" s="259">
        <f>(H14+I14)/G14*1000</f>
        <v>14988.157918834671</v>
      </c>
      <c r="K14" s="259">
        <f>J14*S14</f>
        <v>2997.6315837669345</v>
      </c>
      <c r="L14" s="1078"/>
      <c r="N14" s="59">
        <f>SUM(G11:L11)</f>
        <v>100</v>
      </c>
      <c r="O14" s="68">
        <f>(J14+J16+J18+J20+J22+J24)/3</f>
        <v>8992.8947513008025</v>
      </c>
      <c r="P14" s="59">
        <v>0.7</v>
      </c>
      <c r="Q14" s="60">
        <f>AB8</f>
        <v>0.26819999999999999</v>
      </c>
      <c r="R14" s="60">
        <v>5000</v>
      </c>
      <c r="S14" s="60">
        <v>0.2</v>
      </c>
      <c r="Z14" s="1028" t="s">
        <v>616</v>
      </c>
      <c r="AA14" s="1029"/>
      <c r="AB14" s="357">
        <v>0.26819999999999999</v>
      </c>
    </row>
    <row r="15" spans="1:28" ht="30" customHeight="1" x14ac:dyDescent="0.25">
      <c r="A15" s="616" t="s">
        <v>4</v>
      </c>
      <c r="B15" s="1010">
        <v>2015</v>
      </c>
      <c r="C15" s="1010"/>
      <c r="D15" s="1010"/>
      <c r="E15" s="1010"/>
      <c r="I15" s="633" t="s">
        <v>1030</v>
      </c>
      <c r="J15" s="634" t="s">
        <v>1031</v>
      </c>
      <c r="K15" s="634" t="s">
        <v>1032</v>
      </c>
      <c r="P15" s="59" t="s">
        <v>1037</v>
      </c>
      <c r="Q15" s="60" t="s">
        <v>1115</v>
      </c>
      <c r="Z15" s="1028" t="s">
        <v>578</v>
      </c>
      <c r="AA15" s="1029"/>
      <c r="AB15" s="357">
        <v>0.27700000000000002</v>
      </c>
    </row>
    <row r="16" spans="1:28" ht="30" customHeight="1" x14ac:dyDescent="0.25">
      <c r="A16" s="616" t="s">
        <v>5</v>
      </c>
      <c r="B16" s="1010">
        <v>2030</v>
      </c>
      <c r="C16" s="1010"/>
      <c r="D16" s="1010"/>
      <c r="E16" s="1010"/>
      <c r="I16" s="259">
        <f>J14/10</f>
        <v>1498.8157918834672</v>
      </c>
      <c r="J16" s="592">
        <f>J14-K14</f>
        <v>11990.526335067738</v>
      </c>
      <c r="K16" s="593">
        <f>J16/6.4</f>
        <v>1873.5197398543339</v>
      </c>
      <c r="P16" s="59">
        <v>0.55000000000000004</v>
      </c>
      <c r="Q16" s="60">
        <f>AB10</f>
        <v>0.2364</v>
      </c>
      <c r="Z16" s="1028" t="s">
        <v>579</v>
      </c>
      <c r="AA16" s="1029"/>
      <c r="AB16" s="357">
        <v>0.20269999999999999</v>
      </c>
    </row>
    <row r="17" spans="1:9" ht="30" customHeight="1" x14ac:dyDescent="0.25">
      <c r="A17" s="616" t="s">
        <v>6</v>
      </c>
      <c r="B17" s="1012">
        <f>N14*R14</f>
        <v>500000</v>
      </c>
      <c r="C17" s="1012"/>
      <c r="D17" s="1012"/>
      <c r="E17" s="1012"/>
    </row>
    <row r="18" spans="1:9" ht="30" customHeight="1" x14ac:dyDescent="0.25">
      <c r="A18" s="616" t="s">
        <v>7</v>
      </c>
      <c r="B18" s="1012">
        <v>0</v>
      </c>
      <c r="C18" s="1012"/>
      <c r="D18" s="1012"/>
      <c r="E18" s="1012"/>
    </row>
    <row r="19" spans="1:9" ht="30" customHeight="1" x14ac:dyDescent="0.25">
      <c r="A19" s="99" t="s">
        <v>307</v>
      </c>
      <c r="B19" s="1039">
        <f>G11*K14</f>
        <v>299763.15837669343</v>
      </c>
      <c r="C19" s="1040"/>
      <c r="D19" s="1040"/>
      <c r="E19" s="1040"/>
      <c r="I19" s="6">
        <f>+B19*(Q14-Q16)</f>
        <v>9532.4684363788492</v>
      </c>
    </row>
    <row r="20" spans="1:9" ht="30" customHeight="1" x14ac:dyDescent="0.25">
      <c r="A20" s="96" t="s">
        <v>306</v>
      </c>
      <c r="B20" s="1041"/>
      <c r="C20" s="1042"/>
      <c r="D20" s="1042"/>
      <c r="E20" s="1042"/>
    </row>
    <row r="21" spans="1:9" ht="30" customHeight="1" x14ac:dyDescent="0.25">
      <c r="A21" s="616" t="s">
        <v>8</v>
      </c>
      <c r="B21" s="1012">
        <f>J14/10*N14*P14-(J14-K14)/10*N14*P16</f>
        <v>38969.21058897012</v>
      </c>
      <c r="C21" s="1012"/>
      <c r="D21" s="1012"/>
      <c r="E21" s="1012"/>
    </row>
    <row r="22" spans="1:9" ht="30" customHeight="1" x14ac:dyDescent="0.25">
      <c r="A22" s="616" t="s">
        <v>9</v>
      </c>
      <c r="B22" s="1000"/>
      <c r="C22" s="1000"/>
      <c r="D22" s="1000"/>
      <c r="E22" s="1000"/>
    </row>
    <row r="23" spans="1:9" ht="30" customHeight="1" x14ac:dyDescent="0.25">
      <c r="A23" s="616" t="s">
        <v>301</v>
      </c>
      <c r="B23" s="1016">
        <f>B17/(B21+B22)</f>
        <v>12.830642254311419</v>
      </c>
      <c r="C23" s="1016"/>
      <c r="D23" s="1016"/>
      <c r="E23" s="1016"/>
    </row>
    <row r="24" spans="1:9" ht="30" customHeight="1" x14ac:dyDescent="0.25">
      <c r="A24" s="616" t="s">
        <v>302</v>
      </c>
      <c r="B24" s="1017">
        <f>(B17-B18)/(B21+B22)</f>
        <v>12.830642254311419</v>
      </c>
      <c r="C24" s="1017"/>
      <c r="D24" s="1017"/>
      <c r="E24" s="1017"/>
    </row>
    <row r="25" spans="1:9" ht="30" customHeight="1" x14ac:dyDescent="0.25">
      <c r="A25" s="100" t="s">
        <v>305</v>
      </c>
      <c r="B25" s="1070">
        <f>G11*J14/1000*S14*(Q14-Q16)+B19/1000*Q14</f>
        <v>89.928947513008026</v>
      </c>
      <c r="C25" s="1070"/>
      <c r="D25" s="1070"/>
      <c r="E25" s="1070"/>
    </row>
    <row r="26" spans="1:9" ht="30" customHeight="1" x14ac:dyDescent="0.25">
      <c r="A26" s="101" t="s">
        <v>303</v>
      </c>
      <c r="B26" s="1058">
        <f>B25/'Objectifs CO2'!C8</f>
        <v>8.2953708271008217E-3</v>
      </c>
      <c r="C26" s="1058"/>
      <c r="D26" s="1058"/>
      <c r="E26" s="1058"/>
    </row>
    <row r="27" spans="1:9" ht="30" customHeight="1" x14ac:dyDescent="0.25">
      <c r="A27" s="101" t="s">
        <v>304</v>
      </c>
      <c r="B27" s="1056">
        <f>B25/'Objectifs CO2'!C4</f>
        <v>4.1476854135504108E-3</v>
      </c>
      <c r="C27" s="1057"/>
      <c r="D27" s="1057"/>
      <c r="E27" s="1057"/>
    </row>
    <row r="28" spans="1:9" ht="30" customHeight="1" x14ac:dyDescent="0.25">
      <c r="A28" s="101" t="s">
        <v>22</v>
      </c>
      <c r="B28" s="999" t="s">
        <v>10</v>
      </c>
      <c r="C28" s="999"/>
      <c r="D28" s="999"/>
      <c r="E28" s="999"/>
    </row>
    <row r="29" spans="1:9" ht="30" customHeight="1" x14ac:dyDescent="0.25">
      <c r="A29" s="101" t="s">
        <v>257</v>
      </c>
      <c r="B29" s="999" t="s">
        <v>270</v>
      </c>
      <c r="C29" s="999"/>
      <c r="D29" s="999"/>
      <c r="E29" s="999"/>
      <c r="F29" s="6" t="s">
        <v>264</v>
      </c>
    </row>
    <row r="31" spans="1:9" x14ac:dyDescent="0.25">
      <c r="A31" s="603" t="s">
        <v>1065</v>
      </c>
      <c r="B31" s="1003" t="s">
        <v>675</v>
      </c>
      <c r="C31" s="1003"/>
      <c r="D31" s="1003"/>
      <c r="E31" s="607"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611"/>
      <c r="E43" s="94" t="s">
        <v>730</v>
      </c>
    </row>
    <row r="44" spans="1:12" x14ac:dyDescent="0.25">
      <c r="A44" s="611"/>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6">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B12:E12"/>
    <mergeCell ref="B13:E13"/>
    <mergeCell ref="Z12:AA12"/>
    <mergeCell ref="Z13:AA13"/>
    <mergeCell ref="Z11:AA11"/>
    <mergeCell ref="B11:E11"/>
    <mergeCell ref="B6:E6"/>
    <mergeCell ref="G6:H6"/>
    <mergeCell ref="Z5:AB5"/>
    <mergeCell ref="Z6:AA6"/>
    <mergeCell ref="B7:E7"/>
    <mergeCell ref="G7:H7"/>
    <mergeCell ref="B8:E8"/>
    <mergeCell ref="G8:G10"/>
    <mergeCell ref="B9:E9"/>
    <mergeCell ref="B10:E10"/>
    <mergeCell ref="Z8:AA8"/>
    <mergeCell ref="Z9:AA9"/>
    <mergeCell ref="Z10:AA10"/>
    <mergeCell ref="B15:E15"/>
    <mergeCell ref="B16:E16"/>
    <mergeCell ref="B17:E17"/>
    <mergeCell ref="Z14:AA14"/>
    <mergeCell ref="Z15:AA15"/>
    <mergeCell ref="Z16:AA16"/>
    <mergeCell ref="B38:D38"/>
    <mergeCell ref="B23:E23"/>
    <mergeCell ref="B14:E14"/>
    <mergeCell ref="B18:E18"/>
    <mergeCell ref="B19:E19"/>
    <mergeCell ref="B20:E20"/>
    <mergeCell ref="B21:E21"/>
    <mergeCell ref="B22:E22"/>
    <mergeCell ref="L13:L14"/>
    <mergeCell ref="B41:D41"/>
    <mergeCell ref="B40:D40"/>
    <mergeCell ref="G40:I40"/>
    <mergeCell ref="B42:D42"/>
    <mergeCell ref="B44:D44"/>
    <mergeCell ref="B39:D39"/>
    <mergeCell ref="B34:D34"/>
    <mergeCell ref="H34:I34"/>
    <mergeCell ref="B24:E24"/>
    <mergeCell ref="B25:E25"/>
    <mergeCell ref="B26:E26"/>
    <mergeCell ref="B27:E27"/>
    <mergeCell ref="B28:E28"/>
    <mergeCell ref="B29:E29"/>
    <mergeCell ref="B31:D31"/>
    <mergeCell ref="B32:D32"/>
    <mergeCell ref="G32:I32"/>
    <mergeCell ref="B33:D33"/>
    <mergeCell ref="H33:I33"/>
    <mergeCell ref="B35:D35"/>
    <mergeCell ref="H35:I35"/>
    <mergeCell ref="B36:D36"/>
    <mergeCell ref="B37:D37"/>
  </mergeCells>
  <conditionalFormatting sqref="B5">
    <cfRule type="containsText" dxfId="188" priority="1" operator="containsText" text="Terminé">
      <formula>NOT(ISERROR(SEARCH("Terminé",B5)))</formula>
    </cfRule>
    <cfRule type="containsText" dxfId="187" priority="2" operator="containsText" text="En cours">
      <formula>NOT(ISERROR(SEARCH("En cours",B5)))</formula>
    </cfRule>
    <cfRule type="containsText" dxfId="18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2" width="11.42578125" style="6"/>
    <col min="13" max="13" width="14" style="6" customWidth="1"/>
    <col min="14"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114</v>
      </c>
      <c r="C2" s="1068"/>
      <c r="D2" s="1068"/>
      <c r="E2" s="1068"/>
      <c r="F2" s="7"/>
      <c r="G2" s="986" t="s">
        <v>751</v>
      </c>
      <c r="H2" s="986"/>
    </row>
    <row r="3" spans="1:28" ht="19.5" customHeight="1" x14ac:dyDescent="0.25">
      <c r="A3" s="579" t="s">
        <v>743</v>
      </c>
      <c r="B3" s="987" t="s">
        <v>457</v>
      </c>
      <c r="C3" s="987"/>
      <c r="D3" s="987"/>
      <c r="E3" s="987"/>
      <c r="F3" s="7"/>
      <c r="G3" s="986" t="s">
        <v>752</v>
      </c>
      <c r="H3" s="986"/>
    </row>
    <row r="4" spans="1:28" ht="19.5" customHeight="1" x14ac:dyDescent="0.25">
      <c r="A4" s="580" t="s">
        <v>292</v>
      </c>
      <c r="B4" s="996" t="s">
        <v>31</v>
      </c>
      <c r="C4" s="996"/>
      <c r="D4" s="996"/>
      <c r="E4" s="996"/>
      <c r="F4" s="7"/>
      <c r="G4" s="986" t="s">
        <v>753</v>
      </c>
      <c r="H4" s="986"/>
    </row>
    <row r="5" spans="1:28" ht="19.5" customHeight="1" x14ac:dyDescent="0.25">
      <c r="A5" s="580"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584"/>
      <c r="J7" s="584"/>
      <c r="Z7" s="581"/>
      <c r="AA7" s="582"/>
      <c r="AB7" s="357"/>
    </row>
    <row r="8" spans="1:28" ht="24" customHeight="1" x14ac:dyDescent="0.25">
      <c r="A8" s="589" t="s">
        <v>1</v>
      </c>
      <c r="B8" s="967" t="s">
        <v>31</v>
      </c>
      <c r="C8" s="967"/>
      <c r="D8" s="967"/>
      <c r="E8" s="967"/>
      <c r="G8" s="997" t="s">
        <v>936</v>
      </c>
      <c r="Z8" s="1028" t="s">
        <v>611</v>
      </c>
      <c r="AA8" s="1029"/>
      <c r="AB8" s="357">
        <v>0.26819999999999999</v>
      </c>
    </row>
    <row r="9" spans="1:28" ht="24" customHeight="1" x14ac:dyDescent="0.25">
      <c r="A9" s="589" t="s">
        <v>0</v>
      </c>
      <c r="B9" s="967" t="s">
        <v>1027</v>
      </c>
      <c r="C9" s="967"/>
      <c r="D9" s="967"/>
      <c r="E9" s="967"/>
      <c r="G9" s="997"/>
      <c r="Z9" s="1028" t="s">
        <v>612</v>
      </c>
      <c r="AA9" s="1029"/>
      <c r="AB9" s="357">
        <v>3.1300000000000001E-2</v>
      </c>
    </row>
    <row r="10" spans="1:28" ht="54" customHeight="1" x14ac:dyDescent="0.25">
      <c r="A10" s="589" t="s">
        <v>2</v>
      </c>
      <c r="B10" s="1034" t="s">
        <v>1297</v>
      </c>
      <c r="C10" s="1035"/>
      <c r="D10" s="1035"/>
      <c r="E10" s="1035"/>
      <c r="G10" s="997"/>
      <c r="M10" s="7"/>
      <c r="Z10" s="1028"/>
      <c r="AA10" s="1029"/>
      <c r="AB10" s="357"/>
    </row>
    <row r="11" spans="1:28" ht="54" customHeight="1" x14ac:dyDescent="0.25">
      <c r="A11" s="589" t="s">
        <v>29</v>
      </c>
      <c r="B11" s="1035" t="s">
        <v>1298</v>
      </c>
      <c r="C11" s="1035"/>
      <c r="D11" s="1035"/>
      <c r="E11" s="1035"/>
      <c r="G11" s="254">
        <v>100</v>
      </c>
      <c r="H11" s="131" t="s">
        <v>1035</v>
      </c>
      <c r="Z11" s="1028" t="s">
        <v>613</v>
      </c>
      <c r="AA11" s="1029"/>
      <c r="AB11" s="357">
        <v>0.26819999999999999</v>
      </c>
    </row>
    <row r="12" spans="1:28" ht="30" customHeight="1" x14ac:dyDescent="0.25">
      <c r="A12" s="589" t="s">
        <v>14</v>
      </c>
      <c r="B12" s="1010" t="s">
        <v>607</v>
      </c>
      <c r="C12" s="1010"/>
      <c r="D12" s="1010"/>
      <c r="E12" s="1010"/>
      <c r="Z12" s="1028" t="s">
        <v>614</v>
      </c>
      <c r="AA12" s="1029"/>
      <c r="AB12" s="357">
        <v>1.18E-2</v>
      </c>
    </row>
    <row r="13" spans="1:28" ht="30" customHeight="1" x14ac:dyDescent="0.25">
      <c r="A13" s="589" t="s">
        <v>3</v>
      </c>
      <c r="B13" s="1010"/>
      <c r="C13" s="1010"/>
      <c r="D13" s="1010"/>
      <c r="E13" s="1010"/>
      <c r="G13" s="255" t="s">
        <v>151</v>
      </c>
      <c r="H13" s="585" t="s">
        <v>255</v>
      </c>
      <c r="I13" s="585" t="s">
        <v>256</v>
      </c>
      <c r="J13" s="257" t="s">
        <v>535</v>
      </c>
      <c r="K13" s="585" t="s">
        <v>254</v>
      </c>
      <c r="L13" s="1078"/>
      <c r="N13" s="59" t="s">
        <v>163</v>
      </c>
      <c r="O13" s="59" t="s">
        <v>164</v>
      </c>
      <c r="P13" s="59" t="s">
        <v>149</v>
      </c>
      <c r="Q13" s="60" t="s">
        <v>150</v>
      </c>
      <c r="R13" s="60" t="s">
        <v>165</v>
      </c>
      <c r="S13" s="60" t="s">
        <v>156</v>
      </c>
      <c r="Z13" s="1028" t="s">
        <v>615</v>
      </c>
      <c r="AA13" s="1029"/>
      <c r="AB13" s="358">
        <f>AB15/0.55</f>
        <v>0.50363636363636366</v>
      </c>
    </row>
    <row r="14" spans="1:28" ht="30" customHeight="1" x14ac:dyDescent="0.25">
      <c r="A14" s="589" t="s">
        <v>15</v>
      </c>
      <c r="B14" s="1010"/>
      <c r="C14" s="1010"/>
      <c r="D14" s="1010"/>
      <c r="E14" s="1010"/>
      <c r="G14" s="576">
        <v>3398</v>
      </c>
      <c r="H14" s="256">
        <f>'Objectifs CO2'!Z32</f>
        <v>46882.329252344512</v>
      </c>
      <c r="I14" s="256">
        <f>'Objectifs CO2'!AA32</f>
        <v>4047.431355855701</v>
      </c>
      <c r="J14" s="259">
        <f>(H14+I14)/G14*1000</f>
        <v>14988.157918834671</v>
      </c>
      <c r="K14" s="259">
        <f>J14*S14</f>
        <v>2997.6315837669345</v>
      </c>
      <c r="L14" s="1078"/>
      <c r="N14" s="59">
        <f>SUM(G11:L11)</f>
        <v>100</v>
      </c>
      <c r="O14" s="68">
        <f>(J14+J16+J18+J20+J22+J24)/3</f>
        <v>8992.8947513008025</v>
      </c>
      <c r="P14" s="59">
        <v>0.7</v>
      </c>
      <c r="Q14" s="60">
        <f>AB8</f>
        <v>0.26819999999999999</v>
      </c>
      <c r="R14" s="60">
        <v>5000</v>
      </c>
      <c r="S14" s="60">
        <v>0.2</v>
      </c>
      <c r="Z14" s="1028" t="s">
        <v>616</v>
      </c>
      <c r="AA14" s="1029"/>
      <c r="AB14" s="357">
        <v>0.26819999999999999</v>
      </c>
    </row>
    <row r="15" spans="1:28" ht="30" customHeight="1" x14ac:dyDescent="0.25">
      <c r="A15" s="589" t="s">
        <v>4</v>
      </c>
      <c r="B15" s="1010">
        <v>2015</v>
      </c>
      <c r="C15" s="1010"/>
      <c r="D15" s="1010"/>
      <c r="E15" s="1010"/>
      <c r="I15" s="633" t="s">
        <v>1030</v>
      </c>
      <c r="J15" s="634" t="s">
        <v>1031</v>
      </c>
      <c r="K15" s="634" t="s">
        <v>1032</v>
      </c>
      <c r="P15" s="59" t="s">
        <v>1037</v>
      </c>
      <c r="Q15" s="60" t="s">
        <v>912</v>
      </c>
      <c r="Z15" s="1028" t="s">
        <v>578</v>
      </c>
      <c r="AA15" s="1029"/>
      <c r="AB15" s="357">
        <v>0.27700000000000002</v>
      </c>
    </row>
    <row r="16" spans="1:28" ht="30" customHeight="1" x14ac:dyDescent="0.25">
      <c r="A16" s="589" t="s">
        <v>5</v>
      </c>
      <c r="B16" s="1010">
        <v>2030</v>
      </c>
      <c r="C16" s="1010"/>
      <c r="D16" s="1010"/>
      <c r="E16" s="1010"/>
      <c r="I16" s="259">
        <f>J14/10</f>
        <v>1498.8157918834672</v>
      </c>
      <c r="J16" s="592">
        <f>J14-K14</f>
        <v>11990.526335067738</v>
      </c>
      <c r="K16" s="593">
        <f>J16/6.4</f>
        <v>1873.5197398543339</v>
      </c>
      <c r="P16" s="59">
        <v>0.55000000000000004</v>
      </c>
      <c r="Q16" s="60">
        <f>AB16</f>
        <v>0.20269999999999999</v>
      </c>
      <c r="Z16" s="1028" t="s">
        <v>579</v>
      </c>
      <c r="AA16" s="1029"/>
      <c r="AB16" s="357">
        <v>0.20269999999999999</v>
      </c>
    </row>
    <row r="17" spans="1:9" ht="30" customHeight="1" x14ac:dyDescent="0.25">
      <c r="A17" s="589" t="s">
        <v>6</v>
      </c>
      <c r="B17" s="1012">
        <f>N14*R14</f>
        <v>500000</v>
      </c>
      <c r="C17" s="1012"/>
      <c r="D17" s="1012"/>
      <c r="E17" s="1012"/>
    </row>
    <row r="18" spans="1:9" ht="30" customHeight="1" x14ac:dyDescent="0.25">
      <c r="A18" s="589" t="s">
        <v>7</v>
      </c>
      <c r="B18" s="1012">
        <v>0</v>
      </c>
      <c r="C18" s="1012"/>
      <c r="D18" s="1012"/>
      <c r="E18" s="1012"/>
    </row>
    <row r="19" spans="1:9" ht="30" customHeight="1" x14ac:dyDescent="0.25">
      <c r="A19" s="99" t="s">
        <v>307</v>
      </c>
      <c r="B19" s="1039">
        <f>G11*K14</f>
        <v>299763.15837669343</v>
      </c>
      <c r="C19" s="1040"/>
      <c r="D19" s="1040"/>
      <c r="E19" s="1040"/>
    </row>
    <row r="20" spans="1:9" ht="30" customHeight="1" x14ac:dyDescent="0.25">
      <c r="A20" s="96" t="s">
        <v>306</v>
      </c>
      <c r="B20" s="1041"/>
      <c r="C20" s="1042"/>
      <c r="D20" s="1042"/>
      <c r="E20" s="1042"/>
    </row>
    <row r="21" spans="1:9" ht="30" customHeight="1" x14ac:dyDescent="0.25">
      <c r="A21" s="589" t="s">
        <v>8</v>
      </c>
      <c r="B21" s="1012">
        <f>J14/10*N14*P14-(J14-K14)/10*N14*P16</f>
        <v>38969.21058897012</v>
      </c>
      <c r="C21" s="1012"/>
      <c r="D21" s="1012"/>
      <c r="E21" s="1012"/>
    </row>
    <row r="22" spans="1:9" ht="30" customHeight="1" x14ac:dyDescent="0.25">
      <c r="A22" s="589" t="s">
        <v>9</v>
      </c>
      <c r="B22" s="1000"/>
      <c r="C22" s="1000"/>
      <c r="D22" s="1000"/>
      <c r="E22" s="1000"/>
    </row>
    <row r="23" spans="1:9" ht="30" customHeight="1" x14ac:dyDescent="0.25">
      <c r="A23" s="589" t="s">
        <v>301</v>
      </c>
      <c r="B23" s="1016">
        <f>B17/(B21+B22)</f>
        <v>12.830642254311419</v>
      </c>
      <c r="C23" s="1016"/>
      <c r="D23" s="1016"/>
      <c r="E23" s="1016"/>
    </row>
    <row r="24" spans="1:9" ht="30" customHeight="1" x14ac:dyDescent="0.25">
      <c r="A24" s="589" t="s">
        <v>302</v>
      </c>
      <c r="B24" s="1017">
        <f>(B17-B18)/(B21+B22)</f>
        <v>12.830642254311419</v>
      </c>
      <c r="C24" s="1017"/>
      <c r="D24" s="1017"/>
      <c r="E24" s="1017"/>
    </row>
    <row r="25" spans="1:9" ht="30" customHeight="1" x14ac:dyDescent="0.25">
      <c r="A25" s="100" t="s">
        <v>305</v>
      </c>
      <c r="B25" s="1070">
        <f>G11*J14/1000*S14*(Q14-Q16)+B19/1000*Q14</f>
        <v>100.0309659503026</v>
      </c>
      <c r="C25" s="1070"/>
      <c r="D25" s="1070"/>
      <c r="E25" s="1070"/>
    </row>
    <row r="26" spans="1:9" ht="30" customHeight="1" x14ac:dyDescent="0.25">
      <c r="A26" s="101" t="s">
        <v>303</v>
      </c>
      <c r="B26" s="1058">
        <f>B25/'Objectifs CO2'!C8</f>
        <v>9.227217483345148E-3</v>
      </c>
      <c r="C26" s="1058"/>
      <c r="D26" s="1058"/>
      <c r="E26" s="1058"/>
    </row>
    <row r="27" spans="1:9" ht="30" customHeight="1" x14ac:dyDescent="0.25">
      <c r="A27" s="101" t="s">
        <v>304</v>
      </c>
      <c r="B27" s="1056">
        <f>B25/'Objectifs CO2'!C4</f>
        <v>4.613608741672574E-3</v>
      </c>
      <c r="C27" s="1057"/>
      <c r="D27" s="1057"/>
      <c r="E27" s="1057"/>
    </row>
    <row r="28" spans="1:9" ht="30" customHeight="1" x14ac:dyDescent="0.25">
      <c r="A28" s="101" t="s">
        <v>22</v>
      </c>
      <c r="B28" s="999" t="s">
        <v>10</v>
      </c>
      <c r="C28" s="999"/>
      <c r="D28" s="999"/>
      <c r="E28" s="999"/>
    </row>
    <row r="29" spans="1:9" ht="30" customHeight="1" x14ac:dyDescent="0.25">
      <c r="A29" s="101" t="s">
        <v>257</v>
      </c>
      <c r="B29" s="999" t="s">
        <v>270</v>
      </c>
      <c r="C29" s="999"/>
      <c r="D29" s="999"/>
      <c r="E29" s="999"/>
      <c r="F29" s="6" t="s">
        <v>264</v>
      </c>
    </row>
    <row r="31" spans="1:9" x14ac:dyDescent="0.25">
      <c r="A31" s="603" t="s">
        <v>1065</v>
      </c>
      <c r="B31" s="1003" t="s">
        <v>675</v>
      </c>
      <c r="C31" s="1003"/>
      <c r="D31" s="1003"/>
      <c r="E31" s="575"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77"/>
      <c r="E43" s="94" t="s">
        <v>730</v>
      </c>
    </row>
    <row r="44" spans="1:12" x14ac:dyDescent="0.25">
      <c r="A44" s="57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6">
    <mergeCell ref="A63:A69"/>
    <mergeCell ref="B63:F63"/>
    <mergeCell ref="G63:L63"/>
    <mergeCell ref="B64:F64"/>
    <mergeCell ref="G64:L64"/>
    <mergeCell ref="B65:F65"/>
    <mergeCell ref="G65:L65"/>
    <mergeCell ref="B66:F66"/>
    <mergeCell ref="B59:F59"/>
    <mergeCell ref="G59:L59"/>
    <mergeCell ref="B60:F60"/>
    <mergeCell ref="G60:L60"/>
    <mergeCell ref="B61:F61"/>
    <mergeCell ref="G61:L61"/>
    <mergeCell ref="G66:L66"/>
    <mergeCell ref="B67:F67"/>
    <mergeCell ref="G67:L67"/>
    <mergeCell ref="B68:F68"/>
    <mergeCell ref="G68:L68"/>
    <mergeCell ref="B69:F69"/>
    <mergeCell ref="G69:L69"/>
    <mergeCell ref="B62:F62"/>
    <mergeCell ref="G62:L62"/>
    <mergeCell ref="B56:F56"/>
    <mergeCell ref="G56:L56"/>
    <mergeCell ref="B57:F57"/>
    <mergeCell ref="G57:L57"/>
    <mergeCell ref="B58:F58"/>
    <mergeCell ref="G58:L58"/>
    <mergeCell ref="G51:L51"/>
    <mergeCell ref="A52:A62"/>
    <mergeCell ref="B52:F52"/>
    <mergeCell ref="G52:L52"/>
    <mergeCell ref="B53:F53"/>
    <mergeCell ref="G53:L53"/>
    <mergeCell ref="B54:F54"/>
    <mergeCell ref="G54:L54"/>
    <mergeCell ref="B55:F55"/>
    <mergeCell ref="G55:L55"/>
    <mergeCell ref="A47:A51"/>
    <mergeCell ref="B47:F47"/>
    <mergeCell ref="G47:L47"/>
    <mergeCell ref="B48:F48"/>
    <mergeCell ref="G48:L48"/>
    <mergeCell ref="B49:F49"/>
    <mergeCell ref="G49:L49"/>
    <mergeCell ref="B50:F50"/>
    <mergeCell ref="G50:L50"/>
    <mergeCell ref="B51:F51"/>
    <mergeCell ref="B40:D40"/>
    <mergeCell ref="G40:I40"/>
    <mergeCell ref="B41:D41"/>
    <mergeCell ref="B42:D42"/>
    <mergeCell ref="B44:D44"/>
    <mergeCell ref="G46:L46"/>
    <mergeCell ref="B35:D35"/>
    <mergeCell ref="H35:I35"/>
    <mergeCell ref="B36:D36"/>
    <mergeCell ref="B37:D37"/>
    <mergeCell ref="B38:D38"/>
    <mergeCell ref="B39:D39"/>
    <mergeCell ref="B32:D32"/>
    <mergeCell ref="G32:I32"/>
    <mergeCell ref="B33:D33"/>
    <mergeCell ref="H33:I33"/>
    <mergeCell ref="B34:D34"/>
    <mergeCell ref="H34:I34"/>
    <mergeCell ref="B25:E25"/>
    <mergeCell ref="B26:E26"/>
    <mergeCell ref="B27:E27"/>
    <mergeCell ref="B28:E28"/>
    <mergeCell ref="B29:E29"/>
    <mergeCell ref="B31:D31"/>
    <mergeCell ref="B19:E19"/>
    <mergeCell ref="B20:E20"/>
    <mergeCell ref="B21:E21"/>
    <mergeCell ref="B22:E22"/>
    <mergeCell ref="B23:E23"/>
    <mergeCell ref="B24:E24"/>
    <mergeCell ref="B15:E15"/>
    <mergeCell ref="Z15:AA15"/>
    <mergeCell ref="B16:E16"/>
    <mergeCell ref="Z16:AA16"/>
    <mergeCell ref="B17:E17"/>
    <mergeCell ref="B18:E18"/>
    <mergeCell ref="B11:E11"/>
    <mergeCell ref="Z11:AA11"/>
    <mergeCell ref="B12:E12"/>
    <mergeCell ref="Z12:AA12"/>
    <mergeCell ref="B13:E13"/>
    <mergeCell ref="L13:L14"/>
    <mergeCell ref="Z13:AA13"/>
    <mergeCell ref="B14:E14"/>
    <mergeCell ref="Z14:AA14"/>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185" priority="1" operator="containsText" text="Terminé">
      <formula>NOT(ISERROR(SEARCH("Terminé",B5)))</formula>
    </cfRule>
    <cfRule type="containsText" dxfId="184" priority="2" operator="containsText" text="En cours">
      <formula>NOT(ISERROR(SEARCH("En cours",B5)))</formula>
    </cfRule>
    <cfRule type="containsText" dxfId="18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69"/>
  <sheetViews>
    <sheetView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2" width="11.42578125" style="6"/>
    <col min="13" max="13" width="14" style="6" customWidth="1"/>
    <col min="14"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116</v>
      </c>
      <c r="C2" s="1068"/>
      <c r="D2" s="1068"/>
      <c r="E2" s="1068"/>
      <c r="F2" s="7"/>
      <c r="G2" s="986" t="s">
        <v>751</v>
      </c>
      <c r="H2" s="986"/>
    </row>
    <row r="3" spans="1:28" ht="19.5" customHeight="1" x14ac:dyDescent="0.25">
      <c r="A3" s="579" t="s">
        <v>743</v>
      </c>
      <c r="B3" s="987" t="s">
        <v>457</v>
      </c>
      <c r="C3" s="987"/>
      <c r="D3" s="987"/>
      <c r="E3" s="987"/>
      <c r="F3" s="7"/>
      <c r="G3" s="986" t="s">
        <v>752</v>
      </c>
      <c r="H3" s="986"/>
    </row>
    <row r="4" spans="1:28" ht="19.5" customHeight="1" x14ac:dyDescent="0.25">
      <c r="A4" s="580" t="s">
        <v>292</v>
      </c>
      <c r="B4" s="996" t="s">
        <v>31</v>
      </c>
      <c r="C4" s="996"/>
      <c r="D4" s="996"/>
      <c r="E4" s="996"/>
      <c r="F4" s="7"/>
      <c r="G4" s="986" t="s">
        <v>753</v>
      </c>
      <c r="H4" s="986"/>
    </row>
    <row r="5" spans="1:28" ht="19.5" customHeight="1" x14ac:dyDescent="0.25">
      <c r="A5" s="580"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584"/>
      <c r="J7" s="584"/>
      <c r="Z7" s="581"/>
      <c r="AA7" s="582"/>
      <c r="AB7" s="357"/>
    </row>
    <row r="8" spans="1:28" ht="24" customHeight="1" x14ac:dyDescent="0.25">
      <c r="A8" s="589" t="s">
        <v>1</v>
      </c>
      <c r="B8" s="967"/>
      <c r="C8" s="967"/>
      <c r="D8" s="967"/>
      <c r="E8" s="967"/>
      <c r="G8" s="997" t="s">
        <v>936</v>
      </c>
      <c r="Z8" s="1028" t="s">
        <v>611</v>
      </c>
      <c r="AA8" s="1029"/>
      <c r="AB8" s="357">
        <v>0.26819999999999999</v>
      </c>
    </row>
    <row r="9" spans="1:28" ht="24" customHeight="1" x14ac:dyDescent="0.25">
      <c r="A9" s="589" t="s">
        <v>0</v>
      </c>
      <c r="B9" s="967"/>
      <c r="C9" s="967"/>
      <c r="D9" s="967"/>
      <c r="E9" s="967"/>
      <c r="G9" s="997"/>
      <c r="Z9" s="1028" t="s">
        <v>612</v>
      </c>
      <c r="AA9" s="1029"/>
      <c r="AB9" s="357">
        <v>3.1300000000000001E-2</v>
      </c>
    </row>
    <row r="10" spans="1:28" ht="54" customHeight="1" x14ac:dyDescent="0.25">
      <c r="A10" s="589" t="s">
        <v>2</v>
      </c>
      <c r="B10" s="1034"/>
      <c r="C10" s="1035"/>
      <c r="D10" s="1035"/>
      <c r="E10" s="1035"/>
      <c r="G10" s="997"/>
      <c r="M10" s="7"/>
      <c r="Z10" s="1028"/>
      <c r="AA10" s="1029"/>
      <c r="AB10" s="357">
        <v>0.2364</v>
      </c>
    </row>
    <row r="11" spans="1:28" ht="54" customHeight="1" x14ac:dyDescent="0.25">
      <c r="A11" s="589" t="s">
        <v>29</v>
      </c>
      <c r="B11" s="1035"/>
      <c r="C11" s="1035"/>
      <c r="D11" s="1035"/>
      <c r="E11" s="1035"/>
      <c r="G11" s="254">
        <v>0</v>
      </c>
      <c r="H11" s="131" t="s">
        <v>1036</v>
      </c>
      <c r="Z11" s="1028" t="s">
        <v>613</v>
      </c>
      <c r="AA11" s="1029"/>
      <c r="AB11" s="357">
        <v>0.26819999999999999</v>
      </c>
    </row>
    <row r="12" spans="1:28" ht="30" customHeight="1" x14ac:dyDescent="0.25">
      <c r="A12" s="589" t="s">
        <v>14</v>
      </c>
      <c r="B12" s="1010"/>
      <c r="C12" s="1010"/>
      <c r="D12" s="1010"/>
      <c r="E12" s="1010"/>
      <c r="Z12" s="1028" t="s">
        <v>614</v>
      </c>
      <c r="AA12" s="1029"/>
      <c r="AB12" s="357">
        <v>1.18E-2</v>
      </c>
    </row>
    <row r="13" spans="1:28" ht="30" customHeight="1" x14ac:dyDescent="0.25">
      <c r="A13" s="589" t="s">
        <v>3</v>
      </c>
      <c r="B13" s="1010"/>
      <c r="C13" s="1010"/>
      <c r="D13" s="1010"/>
      <c r="E13" s="1010"/>
      <c r="G13" s="255" t="s">
        <v>151</v>
      </c>
      <c r="H13" s="585" t="s">
        <v>255</v>
      </c>
      <c r="I13" s="585" t="s">
        <v>256</v>
      </c>
      <c r="J13" s="257" t="s">
        <v>535</v>
      </c>
      <c r="K13" s="585" t="s">
        <v>254</v>
      </c>
      <c r="L13" s="1078"/>
      <c r="N13" s="59" t="s">
        <v>163</v>
      </c>
      <c r="O13" s="59" t="s">
        <v>545</v>
      </c>
      <c r="P13" s="59" t="s">
        <v>149</v>
      </c>
      <c r="Q13" s="60" t="s">
        <v>1029</v>
      </c>
      <c r="R13" s="60" t="s">
        <v>165</v>
      </c>
      <c r="S13" s="60" t="s">
        <v>156</v>
      </c>
      <c r="Z13" s="1028" t="s">
        <v>615</v>
      </c>
      <c r="AA13" s="1029"/>
      <c r="AB13" s="358">
        <f>AB15/0.55</f>
        <v>0.50363636363636366</v>
      </c>
    </row>
    <row r="14" spans="1:28" ht="30" customHeight="1" x14ac:dyDescent="0.25">
      <c r="A14" s="589" t="s">
        <v>15</v>
      </c>
      <c r="B14" s="1010"/>
      <c r="C14" s="1010"/>
      <c r="D14" s="1010"/>
      <c r="E14" s="1010"/>
      <c r="G14" s="576">
        <v>3398</v>
      </c>
      <c r="H14" s="256">
        <f>'Objectifs CO2'!Z32</f>
        <v>46882.329252344512</v>
      </c>
      <c r="I14" s="256">
        <f>'Objectifs CO2'!AA32</f>
        <v>4047.431355855701</v>
      </c>
      <c r="J14" s="259">
        <f>(H14+I14)/G14*1000</f>
        <v>14988.157918834671</v>
      </c>
      <c r="K14" s="259">
        <f>J14*S14</f>
        <v>2997.6315837669345</v>
      </c>
      <c r="L14" s="1078"/>
      <c r="N14" s="59">
        <f>SUM(G11:L11)</f>
        <v>0</v>
      </c>
      <c r="O14" s="68">
        <f>(J14+J16+J18+J20+J22+J24)/3</f>
        <v>8992.8947513008025</v>
      </c>
      <c r="P14" s="59">
        <v>0.7</v>
      </c>
      <c r="Q14" s="60">
        <f>AB8</f>
        <v>0.26819999999999999</v>
      </c>
      <c r="R14" s="60">
        <v>3000</v>
      </c>
      <c r="S14" s="60">
        <v>0.2</v>
      </c>
      <c r="Z14" s="1028" t="s">
        <v>616</v>
      </c>
      <c r="AA14" s="1029"/>
      <c r="AB14" s="357">
        <v>0.26819999999999999</v>
      </c>
    </row>
    <row r="15" spans="1:28" ht="30" customHeight="1" x14ac:dyDescent="0.25">
      <c r="A15" s="589" t="s">
        <v>4</v>
      </c>
      <c r="B15" s="1010"/>
      <c r="C15" s="1010"/>
      <c r="D15" s="1010"/>
      <c r="E15" s="1010"/>
      <c r="I15" s="583" t="s">
        <v>1030</v>
      </c>
      <c r="J15" s="585" t="s">
        <v>1031</v>
      </c>
      <c r="K15" s="585" t="s">
        <v>1032</v>
      </c>
      <c r="P15" s="583" t="s">
        <v>1033</v>
      </c>
      <c r="Q15" s="583" t="s">
        <v>1034</v>
      </c>
      <c r="Z15" s="1028" t="s">
        <v>578</v>
      </c>
      <c r="AA15" s="1029"/>
      <c r="AB15" s="357">
        <v>0.27700000000000002</v>
      </c>
    </row>
    <row r="16" spans="1:28" ht="30" customHeight="1" x14ac:dyDescent="0.25">
      <c r="A16" s="589" t="s">
        <v>5</v>
      </c>
      <c r="B16" s="1010"/>
      <c r="C16" s="1010"/>
      <c r="D16" s="1010"/>
      <c r="E16" s="1010"/>
      <c r="I16" s="259">
        <f>J14/10</f>
        <v>1498.8157918834672</v>
      </c>
      <c r="J16" s="592">
        <f>J14-K14</f>
        <v>11990.526335067738</v>
      </c>
      <c r="K16" s="593">
        <f>J16/6.4</f>
        <v>1873.5197398543339</v>
      </c>
      <c r="N16" s="60" t="s">
        <v>300</v>
      </c>
      <c r="P16" s="583">
        <v>0.5</v>
      </c>
      <c r="Q16" s="583">
        <f>AB10</f>
        <v>0.2364</v>
      </c>
      <c r="Z16" s="1028" t="s">
        <v>579</v>
      </c>
      <c r="AA16" s="1029"/>
      <c r="AB16" s="357">
        <v>0.20269999999999999</v>
      </c>
    </row>
    <row r="17" spans="1:14" ht="30" customHeight="1" x14ac:dyDescent="0.25">
      <c r="A17" s="589" t="s">
        <v>6</v>
      </c>
      <c r="B17" s="1012">
        <f>N14*R14</f>
        <v>0</v>
      </c>
      <c r="C17" s="1012"/>
      <c r="D17" s="1012"/>
      <c r="E17" s="1012"/>
      <c r="N17" s="69">
        <v>0</v>
      </c>
    </row>
    <row r="18" spans="1:14" ht="30" customHeight="1" x14ac:dyDescent="0.25">
      <c r="A18" s="589" t="s">
        <v>7</v>
      </c>
      <c r="B18" s="1012">
        <f>N14*N17</f>
        <v>0</v>
      </c>
      <c r="C18" s="1012"/>
      <c r="D18" s="1012"/>
      <c r="E18" s="1012"/>
    </row>
    <row r="19" spans="1:14" ht="30" customHeight="1" x14ac:dyDescent="0.25">
      <c r="A19" s="99" t="s">
        <v>307</v>
      </c>
      <c r="B19" s="1039">
        <f>J14*S14*G11</f>
        <v>0</v>
      </c>
      <c r="C19" s="1040"/>
      <c r="D19" s="1040"/>
      <c r="E19" s="1040"/>
    </row>
    <row r="20" spans="1:14" ht="30" customHeight="1" x14ac:dyDescent="0.25">
      <c r="A20" s="96" t="s">
        <v>306</v>
      </c>
      <c r="B20" s="1041"/>
      <c r="C20" s="1042"/>
      <c r="D20" s="1042"/>
      <c r="E20" s="1042"/>
    </row>
    <row r="21" spans="1:14" ht="30" customHeight="1" x14ac:dyDescent="0.25">
      <c r="A21" s="589" t="s">
        <v>8</v>
      </c>
      <c r="B21" s="1012">
        <f>I16*P14*G11-K16*P16*G11</f>
        <v>0</v>
      </c>
      <c r="C21" s="1012"/>
      <c r="D21" s="1012"/>
      <c r="E21" s="1012"/>
    </row>
    <row r="22" spans="1:14" ht="30" customHeight="1" x14ac:dyDescent="0.25">
      <c r="A22" s="589" t="s">
        <v>9</v>
      </c>
      <c r="B22" s="1000"/>
      <c r="C22" s="1000"/>
      <c r="D22" s="1000"/>
      <c r="E22" s="1000"/>
    </row>
    <row r="23" spans="1:14" ht="30" customHeight="1" x14ac:dyDescent="0.25">
      <c r="A23" s="589" t="s">
        <v>301</v>
      </c>
      <c r="B23" s="1016" t="e">
        <f>B17/B21</f>
        <v>#DIV/0!</v>
      </c>
      <c r="C23" s="1016"/>
      <c r="D23" s="1016"/>
      <c r="E23" s="1016"/>
    </row>
    <row r="24" spans="1:14" ht="30" customHeight="1" x14ac:dyDescent="0.25">
      <c r="A24" s="589" t="s">
        <v>302</v>
      </c>
      <c r="B24" s="1017" t="e">
        <f>(B17-B18)/B21</f>
        <v>#DIV/0!</v>
      </c>
      <c r="C24" s="1017"/>
      <c r="D24" s="1017"/>
      <c r="E24" s="1017"/>
    </row>
    <row r="25" spans="1:14" ht="30" customHeight="1" x14ac:dyDescent="0.25">
      <c r="A25" s="100" t="s">
        <v>305</v>
      </c>
      <c r="B25" s="1070">
        <f>(J14/1000*Q14-J16/1000*Q16)*N14</f>
        <v>0</v>
      </c>
      <c r="C25" s="1070"/>
      <c r="D25" s="1070"/>
      <c r="E25" s="1070"/>
    </row>
    <row r="26" spans="1:14" ht="30" customHeight="1" x14ac:dyDescent="0.25">
      <c r="A26" s="101" t="s">
        <v>303</v>
      </c>
      <c r="B26" s="1058">
        <f>B25/'Objectifs CO2'!C8</f>
        <v>0</v>
      </c>
      <c r="C26" s="1058"/>
      <c r="D26" s="1058"/>
      <c r="E26" s="1058"/>
    </row>
    <row r="27" spans="1:14" ht="30" customHeight="1" x14ac:dyDescent="0.25">
      <c r="A27" s="101" t="s">
        <v>304</v>
      </c>
      <c r="B27" s="1056">
        <f>B25/'Objectifs CO2'!C4</f>
        <v>0</v>
      </c>
      <c r="C27" s="1057"/>
      <c r="D27" s="1057"/>
      <c r="E27" s="1057"/>
    </row>
    <row r="28" spans="1:14" ht="30" customHeight="1" x14ac:dyDescent="0.25">
      <c r="A28" s="101" t="s">
        <v>22</v>
      </c>
      <c r="B28" s="999" t="s">
        <v>10</v>
      </c>
      <c r="C28" s="999"/>
      <c r="D28" s="999"/>
      <c r="E28" s="999"/>
    </row>
    <row r="29" spans="1:14" ht="30" customHeight="1" x14ac:dyDescent="0.25">
      <c r="A29" s="101" t="s">
        <v>257</v>
      </c>
      <c r="B29" s="999" t="s">
        <v>270</v>
      </c>
      <c r="C29" s="999"/>
      <c r="D29" s="999"/>
      <c r="E29" s="999"/>
      <c r="F29" s="6" t="s">
        <v>264</v>
      </c>
    </row>
    <row r="31" spans="1:14" x14ac:dyDescent="0.25">
      <c r="A31" s="603" t="s">
        <v>1065</v>
      </c>
      <c r="B31" s="1003" t="s">
        <v>675</v>
      </c>
      <c r="C31" s="1003"/>
      <c r="D31" s="1003"/>
      <c r="E31" s="575" t="s">
        <v>676</v>
      </c>
    </row>
    <row r="32" spans="1:14"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77"/>
      <c r="E43" s="94" t="s">
        <v>730</v>
      </c>
    </row>
    <row r="44" spans="1:12" x14ac:dyDescent="0.25">
      <c r="A44" s="57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6">
    <mergeCell ref="A63:A69"/>
    <mergeCell ref="B63:F63"/>
    <mergeCell ref="G63:L63"/>
    <mergeCell ref="B64:F64"/>
    <mergeCell ref="G64:L64"/>
    <mergeCell ref="B65:F65"/>
    <mergeCell ref="G65:L65"/>
    <mergeCell ref="B66:F66"/>
    <mergeCell ref="B59:F59"/>
    <mergeCell ref="G59:L59"/>
    <mergeCell ref="B60:F60"/>
    <mergeCell ref="G60:L60"/>
    <mergeCell ref="B61:F61"/>
    <mergeCell ref="G61:L61"/>
    <mergeCell ref="G66:L66"/>
    <mergeCell ref="B67:F67"/>
    <mergeCell ref="G67:L67"/>
    <mergeCell ref="B68:F68"/>
    <mergeCell ref="G68:L68"/>
    <mergeCell ref="B69:F69"/>
    <mergeCell ref="G69:L69"/>
    <mergeCell ref="B62:F62"/>
    <mergeCell ref="G62:L62"/>
    <mergeCell ref="B56:F56"/>
    <mergeCell ref="G56:L56"/>
    <mergeCell ref="B57:F57"/>
    <mergeCell ref="G57:L57"/>
    <mergeCell ref="B58:F58"/>
    <mergeCell ref="G58:L58"/>
    <mergeCell ref="G51:L51"/>
    <mergeCell ref="A52:A62"/>
    <mergeCell ref="B52:F52"/>
    <mergeCell ref="G52:L52"/>
    <mergeCell ref="B53:F53"/>
    <mergeCell ref="G53:L53"/>
    <mergeCell ref="B54:F54"/>
    <mergeCell ref="G54:L54"/>
    <mergeCell ref="B55:F55"/>
    <mergeCell ref="G55:L55"/>
    <mergeCell ref="A47:A51"/>
    <mergeCell ref="B47:F47"/>
    <mergeCell ref="G47:L47"/>
    <mergeCell ref="B48:F48"/>
    <mergeCell ref="G48:L48"/>
    <mergeCell ref="B49:F49"/>
    <mergeCell ref="G49:L49"/>
    <mergeCell ref="B50:F50"/>
    <mergeCell ref="G50:L50"/>
    <mergeCell ref="B51:F51"/>
    <mergeCell ref="B40:D40"/>
    <mergeCell ref="G40:I40"/>
    <mergeCell ref="B41:D41"/>
    <mergeCell ref="B42:D42"/>
    <mergeCell ref="B44:D44"/>
    <mergeCell ref="G46:L46"/>
    <mergeCell ref="B35:D35"/>
    <mergeCell ref="H35:I35"/>
    <mergeCell ref="B36:D36"/>
    <mergeCell ref="B37:D37"/>
    <mergeCell ref="B38:D38"/>
    <mergeCell ref="B39:D39"/>
    <mergeCell ref="B32:D32"/>
    <mergeCell ref="G32:I32"/>
    <mergeCell ref="B33:D33"/>
    <mergeCell ref="H33:I33"/>
    <mergeCell ref="B34:D34"/>
    <mergeCell ref="H34:I34"/>
    <mergeCell ref="B25:E25"/>
    <mergeCell ref="B26:E26"/>
    <mergeCell ref="B27:E27"/>
    <mergeCell ref="B28:E28"/>
    <mergeCell ref="B29:E29"/>
    <mergeCell ref="B31:D31"/>
    <mergeCell ref="B19:E19"/>
    <mergeCell ref="B20:E20"/>
    <mergeCell ref="B21:E21"/>
    <mergeCell ref="B22:E22"/>
    <mergeCell ref="B23:E23"/>
    <mergeCell ref="B24:E24"/>
    <mergeCell ref="B15:E15"/>
    <mergeCell ref="Z15:AA15"/>
    <mergeCell ref="B16:E16"/>
    <mergeCell ref="Z16:AA16"/>
    <mergeCell ref="B17:E17"/>
    <mergeCell ref="B18:E18"/>
    <mergeCell ref="B11:E11"/>
    <mergeCell ref="Z11:AA11"/>
    <mergeCell ref="B12:E12"/>
    <mergeCell ref="Z12:AA12"/>
    <mergeCell ref="B13:E13"/>
    <mergeCell ref="L13:L14"/>
    <mergeCell ref="Z13:AA13"/>
    <mergeCell ref="B14:E14"/>
    <mergeCell ref="Z14:AA14"/>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182" priority="1" operator="containsText" text="Terminé">
      <formula>NOT(ISERROR(SEARCH("Terminé",B5)))</formula>
    </cfRule>
    <cfRule type="containsText" dxfId="181" priority="2" operator="containsText" text="En cours">
      <formula>NOT(ISERROR(SEARCH("En cours",B5)))</formula>
    </cfRule>
    <cfRule type="containsText" dxfId="18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zoomScaleNormal="100" workbookViewId="0">
      <selection sqref="A1:E1"/>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2" width="11.42578125" style="1"/>
    <col min="13" max="13" width="15.140625" style="1" customWidth="1"/>
    <col min="14" max="16384" width="11.42578125" style="1"/>
  </cols>
  <sheetData>
    <row r="1" spans="1:28" ht="26.25" x14ac:dyDescent="0.4">
      <c r="A1" s="1001" t="s">
        <v>937</v>
      </c>
      <c r="B1" s="1001"/>
      <c r="C1" s="1001"/>
      <c r="D1" s="1001"/>
      <c r="E1" s="1001"/>
      <c r="F1" s="276"/>
      <c r="G1" s="7"/>
      <c r="H1" s="7"/>
    </row>
    <row r="2" spans="1:28" ht="19.5" customHeight="1" x14ac:dyDescent="0.25">
      <c r="A2" s="415" t="s">
        <v>750</v>
      </c>
      <c r="B2" s="1068" t="s">
        <v>812</v>
      </c>
      <c r="C2" s="1068"/>
      <c r="D2" s="1068"/>
      <c r="E2" s="1068"/>
      <c r="F2" s="7"/>
      <c r="G2" s="986" t="s">
        <v>751</v>
      </c>
      <c r="H2" s="986"/>
    </row>
    <row r="3" spans="1:28" ht="19.5" customHeight="1" x14ac:dyDescent="0.25">
      <c r="A3" s="409" t="s">
        <v>743</v>
      </c>
      <c r="B3" s="987" t="s">
        <v>746</v>
      </c>
      <c r="C3" s="987"/>
      <c r="D3" s="987"/>
      <c r="E3" s="987"/>
      <c r="F3" s="7"/>
      <c r="G3" s="986" t="s">
        <v>752</v>
      </c>
      <c r="H3" s="986"/>
      <c r="I3" s="6"/>
      <c r="J3" s="6"/>
    </row>
    <row r="4" spans="1:28" ht="19.5" customHeight="1" x14ac:dyDescent="0.25">
      <c r="A4" s="403" t="s">
        <v>292</v>
      </c>
      <c r="B4" s="996" t="s">
        <v>34</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34</v>
      </c>
      <c r="C8" s="967"/>
      <c r="D8" s="967"/>
      <c r="E8" s="967"/>
      <c r="G8" s="997" t="s">
        <v>936</v>
      </c>
      <c r="H8" s="6"/>
      <c r="I8" s="6"/>
      <c r="J8" s="6"/>
      <c r="K8" s="6"/>
      <c r="L8" s="6"/>
      <c r="M8" s="6"/>
      <c r="Z8" s="1028" t="s">
        <v>611</v>
      </c>
      <c r="AA8" s="1029"/>
      <c r="AB8" s="357">
        <v>0.26819999999999999</v>
      </c>
    </row>
    <row r="9" spans="1:28" ht="24" customHeight="1" x14ac:dyDescent="0.25">
      <c r="A9" s="98" t="s">
        <v>0</v>
      </c>
      <c r="B9" s="967" t="s">
        <v>104</v>
      </c>
      <c r="C9" s="967"/>
      <c r="D9" s="967"/>
      <c r="E9" s="967"/>
      <c r="G9" s="997"/>
      <c r="H9" s="6"/>
      <c r="I9" s="6"/>
      <c r="J9" s="6"/>
      <c r="K9" s="6"/>
      <c r="L9" s="6"/>
      <c r="M9" s="6"/>
      <c r="Z9" s="1028" t="s">
        <v>612</v>
      </c>
      <c r="AA9" s="1029"/>
      <c r="AB9" s="357">
        <v>3.1300000000000001E-2</v>
      </c>
    </row>
    <row r="10" spans="1:28" ht="15.75" x14ac:dyDescent="0.25">
      <c r="A10" s="98" t="s">
        <v>2</v>
      </c>
      <c r="B10" s="1034" t="s">
        <v>1118</v>
      </c>
      <c r="C10" s="1035"/>
      <c r="D10" s="1035"/>
      <c r="E10" s="1035"/>
      <c r="G10" s="997"/>
      <c r="H10" s="6"/>
      <c r="I10" s="6"/>
      <c r="J10" s="6"/>
      <c r="K10" s="6"/>
      <c r="L10" s="6"/>
      <c r="M10" s="7"/>
      <c r="Z10" s="1028"/>
      <c r="AA10" s="1029"/>
      <c r="AB10" s="357"/>
    </row>
    <row r="11" spans="1:28" ht="30" x14ac:dyDescent="0.25">
      <c r="A11" s="98" t="s">
        <v>29</v>
      </c>
      <c r="B11" s="1034"/>
      <c r="C11" s="1035"/>
      <c r="D11" s="1035"/>
      <c r="E11" s="1035"/>
      <c r="G11" s="254">
        <v>150</v>
      </c>
      <c r="H11" s="131" t="s">
        <v>568</v>
      </c>
      <c r="I11" s="6"/>
      <c r="J11" s="6"/>
      <c r="K11" s="6"/>
      <c r="L11" s="6"/>
      <c r="Z11" s="1028" t="s">
        <v>613</v>
      </c>
      <c r="AA11" s="1029"/>
      <c r="AB11" s="357">
        <v>0.26819999999999999</v>
      </c>
    </row>
    <row r="12" spans="1:28" ht="30" customHeight="1" x14ac:dyDescent="0.25">
      <c r="A12" s="98" t="s">
        <v>14</v>
      </c>
      <c r="B12" s="1010" t="s">
        <v>607</v>
      </c>
      <c r="C12" s="1010"/>
      <c r="D12" s="1010"/>
      <c r="E12" s="1010"/>
      <c r="Z12" s="1028" t="s">
        <v>614</v>
      </c>
      <c r="AA12" s="1029"/>
      <c r="AB12" s="357">
        <v>1.18E-2</v>
      </c>
    </row>
    <row r="13" spans="1:28" ht="30" customHeight="1" x14ac:dyDescent="0.25">
      <c r="A13" s="98" t="s">
        <v>3</v>
      </c>
      <c r="B13" s="1010"/>
      <c r="C13" s="1010"/>
      <c r="D13" s="1010"/>
      <c r="E13" s="1010"/>
      <c r="G13" s="59" t="s">
        <v>217</v>
      </c>
      <c r="H13" s="60" t="s">
        <v>218</v>
      </c>
      <c r="I13" s="60" t="s">
        <v>219</v>
      </c>
      <c r="J13" s="60" t="s">
        <v>220</v>
      </c>
      <c r="K13" s="60" t="s">
        <v>150</v>
      </c>
      <c r="L13" s="59" t="s">
        <v>156</v>
      </c>
      <c r="M13" s="59" t="s">
        <v>221</v>
      </c>
      <c r="N13" s="62" t="s">
        <v>222</v>
      </c>
      <c r="Z13" s="1028" t="s">
        <v>615</v>
      </c>
      <c r="AA13" s="1029"/>
      <c r="AB13" s="358">
        <f>AB15/0.55</f>
        <v>0.50363636363636366</v>
      </c>
    </row>
    <row r="14" spans="1:28" ht="30" customHeight="1" x14ac:dyDescent="0.25">
      <c r="A14" s="98" t="s">
        <v>15</v>
      </c>
      <c r="B14" s="1010"/>
      <c r="C14" s="1010"/>
      <c r="D14" s="1010"/>
      <c r="E14" s="1010"/>
      <c r="G14" s="61">
        <f>SUM(G11:L11)</f>
        <v>150</v>
      </c>
      <c r="H14" s="62">
        <v>15490</v>
      </c>
      <c r="I14" s="62">
        <v>6</v>
      </c>
      <c r="J14" s="62">
        <v>1.6</v>
      </c>
      <c r="K14" s="62">
        <f>AB8</f>
        <v>0.26819999999999999</v>
      </c>
      <c r="L14" s="61">
        <v>0.1</v>
      </c>
      <c r="M14" s="59">
        <v>50</v>
      </c>
      <c r="N14" s="62">
        <f>H14*I14/I15*G14</f>
        <v>139410</v>
      </c>
      <c r="Z14" s="1028" t="s">
        <v>616</v>
      </c>
      <c r="AA14" s="1029"/>
      <c r="AB14" s="357">
        <v>0.26819999999999999</v>
      </c>
    </row>
    <row r="15" spans="1:28" ht="30" customHeight="1" x14ac:dyDescent="0.25">
      <c r="A15" s="98" t="s">
        <v>4</v>
      </c>
      <c r="B15" s="1010">
        <v>2020</v>
      </c>
      <c r="C15" s="1010"/>
      <c r="D15" s="1010"/>
      <c r="E15" s="1010"/>
      <c r="F15" s="6"/>
      <c r="G15" s="55"/>
      <c r="H15" s="55"/>
      <c r="I15" s="74">
        <v>100</v>
      </c>
      <c r="J15" s="55"/>
      <c r="K15" s="55"/>
      <c r="L15" s="55"/>
      <c r="M15" s="6"/>
      <c r="Z15" s="1028" t="s">
        <v>578</v>
      </c>
      <c r="AA15" s="1029"/>
      <c r="AB15" s="357">
        <v>0.27700000000000002</v>
      </c>
    </row>
    <row r="16" spans="1:28" ht="30" customHeight="1" x14ac:dyDescent="0.25">
      <c r="A16" s="98" t="s">
        <v>5</v>
      </c>
      <c r="B16" s="1010">
        <v>2030</v>
      </c>
      <c r="C16" s="1010"/>
      <c r="D16" s="1010"/>
      <c r="E16" s="1010"/>
      <c r="F16" s="6"/>
      <c r="G16" s="55"/>
      <c r="I16" s="55"/>
      <c r="J16" s="6"/>
      <c r="K16" s="55"/>
      <c r="L16" s="55"/>
      <c r="M16" s="6"/>
      <c r="Z16" s="1028" t="s">
        <v>579</v>
      </c>
      <c r="AA16" s="1029"/>
      <c r="AB16" s="357">
        <v>0.20269999999999999</v>
      </c>
    </row>
    <row r="17" spans="1:13" ht="30" customHeight="1" x14ac:dyDescent="0.25">
      <c r="A17" s="98" t="s">
        <v>6</v>
      </c>
      <c r="B17" s="1000">
        <f>G14*M14</f>
        <v>7500</v>
      </c>
      <c r="C17" s="1000"/>
      <c r="D17" s="1000"/>
      <c r="E17" s="1000"/>
      <c r="F17" s="6"/>
      <c r="G17" s="55"/>
      <c r="I17" s="55"/>
      <c r="J17" s="6"/>
      <c r="K17" s="55"/>
      <c r="L17" s="55"/>
      <c r="M17" s="6"/>
    </row>
    <row r="18" spans="1:13" ht="30" customHeight="1" x14ac:dyDescent="0.25">
      <c r="A18" s="98" t="s">
        <v>7</v>
      </c>
      <c r="B18" s="1000"/>
      <c r="C18" s="1000"/>
      <c r="D18" s="1000"/>
      <c r="E18" s="1000"/>
      <c r="F18" s="6"/>
      <c r="G18" s="6"/>
      <c r="H18" s="6"/>
      <c r="I18" s="6"/>
      <c r="J18" s="6"/>
    </row>
    <row r="19" spans="1:13" ht="30" customHeight="1" x14ac:dyDescent="0.25">
      <c r="A19" s="99" t="s">
        <v>307</v>
      </c>
      <c r="B19" s="1039">
        <f>N14*L14*10</f>
        <v>139410</v>
      </c>
      <c r="C19" s="1040"/>
      <c r="D19" s="1040"/>
      <c r="E19" s="1040"/>
      <c r="F19" s="6"/>
      <c r="G19" s="2"/>
      <c r="H19" s="2"/>
      <c r="I19" s="6"/>
      <c r="J19" s="6"/>
    </row>
    <row r="20" spans="1:13" ht="30" customHeight="1" x14ac:dyDescent="0.25">
      <c r="A20" s="96" t="s">
        <v>306</v>
      </c>
      <c r="B20" s="1041"/>
      <c r="C20" s="1042"/>
      <c r="D20" s="1042"/>
      <c r="E20" s="1042"/>
      <c r="F20" s="6"/>
      <c r="G20" s="2"/>
      <c r="H20" s="2"/>
      <c r="I20" s="6"/>
      <c r="J20" s="6"/>
    </row>
    <row r="21" spans="1:13" ht="30" customHeight="1" x14ac:dyDescent="0.25">
      <c r="A21" s="98" t="s">
        <v>8</v>
      </c>
      <c r="B21" s="1000">
        <f>J14*N14*L14</f>
        <v>22305.600000000002</v>
      </c>
      <c r="C21" s="1000"/>
      <c r="D21" s="1000"/>
      <c r="E21" s="1000"/>
      <c r="F21" s="6"/>
      <c r="G21" s="6">
        <v>1.6</v>
      </c>
      <c r="H21" s="6"/>
      <c r="I21" s="6"/>
      <c r="J21" s="6"/>
    </row>
    <row r="22" spans="1:13" ht="30" customHeight="1" x14ac:dyDescent="0.25">
      <c r="A22" s="98" t="s">
        <v>9</v>
      </c>
      <c r="B22" s="1000"/>
      <c r="C22" s="1000"/>
      <c r="D22" s="1000"/>
      <c r="E22" s="1000"/>
      <c r="F22" s="6"/>
      <c r="G22" s="6"/>
      <c r="H22" s="6"/>
      <c r="I22" s="6"/>
      <c r="J22" s="6"/>
    </row>
    <row r="23" spans="1:13" ht="30" customHeight="1" x14ac:dyDescent="0.25">
      <c r="A23" s="98" t="s">
        <v>301</v>
      </c>
      <c r="B23" s="1016">
        <f>B17/(B21+B22)</f>
        <v>0.33623843339789106</v>
      </c>
      <c r="C23" s="1016"/>
      <c r="D23" s="1016"/>
      <c r="E23" s="1016"/>
      <c r="F23" s="6"/>
      <c r="G23" s="6"/>
      <c r="H23" s="6"/>
      <c r="I23" s="6"/>
      <c r="J23" s="6"/>
    </row>
    <row r="24" spans="1:13" ht="30" customHeight="1" x14ac:dyDescent="0.25">
      <c r="A24" s="98" t="s">
        <v>302</v>
      </c>
      <c r="B24" s="1017">
        <f>(B17-B18)/(B21+B22)</f>
        <v>0.33623843339789106</v>
      </c>
      <c r="C24" s="1017"/>
      <c r="D24" s="1017"/>
      <c r="E24" s="1017"/>
      <c r="F24" s="6"/>
      <c r="G24" s="6"/>
      <c r="H24" s="6"/>
      <c r="I24" s="6"/>
      <c r="J24" s="6"/>
    </row>
    <row r="25" spans="1:13" ht="30" customHeight="1" x14ac:dyDescent="0.25">
      <c r="A25" s="100" t="s">
        <v>305</v>
      </c>
      <c r="B25" s="1070">
        <f>B19/1000*K14</f>
        <v>37.389761999999997</v>
      </c>
      <c r="C25" s="1070"/>
      <c r="D25" s="1070"/>
      <c r="E25" s="1070"/>
      <c r="F25" s="6"/>
      <c r="G25" s="6">
        <v>0.26100000000000001</v>
      </c>
      <c r="H25" s="6"/>
      <c r="I25" s="6"/>
      <c r="J25" s="6"/>
    </row>
    <row r="26" spans="1:13" ht="30" customHeight="1" x14ac:dyDescent="0.25">
      <c r="A26" s="101" t="s">
        <v>303</v>
      </c>
      <c r="B26" s="1021">
        <f>B25/'Objectifs CO2'!C10</f>
        <v>1.1496555503153517E-2</v>
      </c>
      <c r="C26" s="1021"/>
      <c r="D26" s="1021"/>
      <c r="E26" s="1021"/>
      <c r="F26" s="6"/>
      <c r="G26" s="6"/>
      <c r="H26" s="6"/>
      <c r="I26" s="6"/>
      <c r="J26" s="6"/>
    </row>
    <row r="27" spans="1:13" ht="30" customHeight="1" x14ac:dyDescent="0.25">
      <c r="A27" s="101" t="s">
        <v>304</v>
      </c>
      <c r="B27" s="1044">
        <f>B25/'Objectifs CO2'!C4</f>
        <v>1.7244833254730276E-3</v>
      </c>
      <c r="C27" s="1045"/>
      <c r="D27" s="1045"/>
      <c r="E27" s="1045"/>
      <c r="F27" s="6"/>
      <c r="G27" s="6"/>
      <c r="H27" s="6"/>
      <c r="I27" s="6"/>
      <c r="J27" s="6"/>
    </row>
    <row r="28" spans="1:13" ht="30" customHeight="1" x14ac:dyDescent="0.25">
      <c r="A28" s="101" t="s">
        <v>22</v>
      </c>
      <c r="B28" s="999" t="s">
        <v>10</v>
      </c>
      <c r="C28" s="999"/>
      <c r="D28" s="999"/>
      <c r="E28" s="999"/>
      <c r="F28" s="6"/>
      <c r="G28" s="6"/>
      <c r="H28" s="6"/>
      <c r="I28" s="6"/>
      <c r="J28" s="6"/>
    </row>
    <row r="29" spans="1:13" ht="30" customHeight="1" x14ac:dyDescent="0.25">
      <c r="A29" s="101" t="s">
        <v>257</v>
      </c>
      <c r="B29" s="999"/>
      <c r="C29" s="999"/>
      <c r="D29" s="999"/>
      <c r="E29" s="999"/>
    </row>
    <row r="31" spans="1:13" x14ac:dyDescent="0.25">
      <c r="A31" s="603" t="s">
        <v>1065</v>
      </c>
      <c r="B31" s="1003" t="s">
        <v>675</v>
      </c>
      <c r="C31" s="1003"/>
      <c r="D31" s="1003"/>
      <c r="E31" s="56" t="s">
        <v>676</v>
      </c>
      <c r="F31" s="6"/>
      <c r="G31" s="6"/>
      <c r="H31" s="6"/>
      <c r="I31" s="6"/>
    </row>
    <row r="32" spans="1:13"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v>100</v>
      </c>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A52:A62"/>
    <mergeCell ref="B52:F52"/>
    <mergeCell ref="G52:L52"/>
    <mergeCell ref="B53:F53"/>
    <mergeCell ref="G53:L53"/>
    <mergeCell ref="B54:F54"/>
    <mergeCell ref="G54:L54"/>
    <mergeCell ref="H35:I35"/>
    <mergeCell ref="B36:D36"/>
    <mergeCell ref="B42:D42"/>
    <mergeCell ref="B44:D44"/>
    <mergeCell ref="B37:D37"/>
    <mergeCell ref="G59:L59"/>
    <mergeCell ref="B60:F60"/>
    <mergeCell ref="G60:L60"/>
    <mergeCell ref="B61:F61"/>
    <mergeCell ref="G61:L61"/>
    <mergeCell ref="G46:L46"/>
    <mergeCell ref="B38:D38"/>
    <mergeCell ref="B39:D39"/>
    <mergeCell ref="B40:D40"/>
    <mergeCell ref="B41:D41"/>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G7:H7"/>
    <mergeCell ref="B25:E25"/>
    <mergeCell ref="B19:E19"/>
    <mergeCell ref="B20:E20"/>
    <mergeCell ref="B21:E21"/>
    <mergeCell ref="B22:E22"/>
    <mergeCell ref="B23:E23"/>
    <mergeCell ref="Z16:AA16"/>
    <mergeCell ref="Z11:AA11"/>
    <mergeCell ref="Z12:AA12"/>
    <mergeCell ref="Z13:AA13"/>
    <mergeCell ref="Z14:AA14"/>
    <mergeCell ref="Z15:AA15"/>
    <mergeCell ref="B16:E16"/>
    <mergeCell ref="B11:E11"/>
    <mergeCell ref="B12:E12"/>
    <mergeCell ref="B13:E13"/>
    <mergeCell ref="B15:E15"/>
    <mergeCell ref="B27:E27"/>
    <mergeCell ref="B17:E17"/>
    <mergeCell ref="B18:E18"/>
    <mergeCell ref="B24:E24"/>
    <mergeCell ref="B26:E26"/>
    <mergeCell ref="B33:D33"/>
    <mergeCell ref="B10:E10"/>
    <mergeCell ref="H33:I33"/>
    <mergeCell ref="G8:G10"/>
    <mergeCell ref="G40:I40"/>
    <mergeCell ref="B34:D34"/>
    <mergeCell ref="H34:I34"/>
    <mergeCell ref="B35:D35"/>
    <mergeCell ref="B8:E8"/>
    <mergeCell ref="B9:E9"/>
    <mergeCell ref="A1:E1"/>
    <mergeCell ref="B2:E2"/>
    <mergeCell ref="G2:H2"/>
    <mergeCell ref="B3:E3"/>
    <mergeCell ref="G3:H3"/>
    <mergeCell ref="B4:E4"/>
    <mergeCell ref="B5:E5"/>
    <mergeCell ref="B6:E6"/>
    <mergeCell ref="B7:E7"/>
    <mergeCell ref="G6:H6"/>
    <mergeCell ref="G4:H4"/>
    <mergeCell ref="G5:H5"/>
    <mergeCell ref="B31:D31"/>
    <mergeCell ref="B32:D32"/>
    <mergeCell ref="G32:I32"/>
    <mergeCell ref="B29:E29"/>
    <mergeCell ref="B14:E14"/>
    <mergeCell ref="B28:E28"/>
  </mergeCells>
  <conditionalFormatting sqref="B5">
    <cfRule type="containsText" dxfId="179" priority="1" operator="containsText" text="Terminé">
      <formula>NOT(ISERROR(SEARCH("Terminé",B5)))</formula>
    </cfRule>
    <cfRule type="containsText" dxfId="178" priority="2" operator="containsText" text="En cours">
      <formula>NOT(ISERROR(SEARCH("En cours",B5)))</formula>
    </cfRule>
    <cfRule type="containsText" dxfId="17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0" zoomScaleNormal="100" workbookViewId="0">
      <selection sqref="A1:E1"/>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276"/>
      <c r="G1" s="7"/>
      <c r="H1" s="7"/>
    </row>
    <row r="2" spans="1:28" ht="19.5" customHeight="1" x14ac:dyDescent="0.25">
      <c r="A2" s="415" t="s">
        <v>750</v>
      </c>
      <c r="B2" s="1068" t="s">
        <v>811</v>
      </c>
      <c r="C2" s="1068"/>
      <c r="D2" s="1068"/>
      <c r="E2" s="1068"/>
      <c r="F2" s="7"/>
      <c r="G2" s="986" t="s">
        <v>751</v>
      </c>
      <c r="H2" s="986"/>
    </row>
    <row r="3" spans="1:28" ht="19.5" customHeight="1" x14ac:dyDescent="0.25">
      <c r="A3" s="409" t="s">
        <v>743</v>
      </c>
      <c r="B3" s="987" t="s">
        <v>746</v>
      </c>
      <c r="C3" s="987"/>
      <c r="D3" s="987"/>
      <c r="E3" s="987"/>
      <c r="F3" s="7"/>
      <c r="G3" s="986" t="s">
        <v>752</v>
      </c>
      <c r="H3" s="986"/>
      <c r="I3" s="6"/>
      <c r="J3" s="6"/>
    </row>
    <row r="4" spans="1:28" ht="19.5" customHeight="1" x14ac:dyDescent="0.25">
      <c r="A4" s="403" t="s">
        <v>292</v>
      </c>
      <c r="B4" s="996" t="s">
        <v>34</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608</v>
      </c>
      <c r="C6" s="993"/>
      <c r="D6" s="993"/>
      <c r="E6" s="993"/>
      <c r="F6" s="7"/>
      <c r="G6" s="986" t="s">
        <v>755</v>
      </c>
      <c r="H6" s="986"/>
      <c r="I6" s="6"/>
      <c r="J6" s="6"/>
      <c r="Z6" s="1026"/>
      <c r="AA6" s="1027"/>
      <c r="AB6" s="357" t="s">
        <v>610</v>
      </c>
    </row>
    <row r="7" spans="1:28" s="6" customFormat="1"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34</v>
      </c>
      <c r="C8" s="967"/>
      <c r="D8" s="967"/>
      <c r="E8" s="967"/>
      <c r="G8" s="997" t="s">
        <v>936</v>
      </c>
      <c r="H8" s="6"/>
      <c r="I8" s="6"/>
      <c r="J8" s="6"/>
      <c r="K8" s="6"/>
      <c r="L8" s="6"/>
      <c r="M8" s="6"/>
      <c r="Z8" s="1028" t="s">
        <v>611</v>
      </c>
      <c r="AA8" s="1029"/>
      <c r="AB8" s="357">
        <v>0.26819999999999999</v>
      </c>
    </row>
    <row r="9" spans="1:28" ht="24" customHeight="1" x14ac:dyDescent="0.25">
      <c r="A9" s="98" t="s">
        <v>0</v>
      </c>
      <c r="B9" s="967" t="s">
        <v>106</v>
      </c>
      <c r="C9" s="967"/>
      <c r="D9" s="967"/>
      <c r="E9" s="967"/>
      <c r="G9" s="997"/>
      <c r="H9" s="6"/>
      <c r="I9" s="6"/>
      <c r="J9" s="6"/>
      <c r="K9" s="6"/>
      <c r="L9" s="6"/>
      <c r="M9" s="6"/>
      <c r="Z9" s="1028" t="s">
        <v>612</v>
      </c>
      <c r="AA9" s="1029"/>
      <c r="AB9" s="357">
        <v>3.1300000000000001E-2</v>
      </c>
    </row>
    <row r="10" spans="1:28" ht="15.75" x14ac:dyDescent="0.25">
      <c r="A10" s="98" t="s">
        <v>2</v>
      </c>
      <c r="B10" s="1034"/>
      <c r="C10" s="1035"/>
      <c r="D10" s="1035"/>
      <c r="E10" s="1035"/>
      <c r="G10" s="997"/>
      <c r="H10" s="6"/>
      <c r="I10" s="6"/>
      <c r="J10" s="6"/>
      <c r="K10" s="6"/>
      <c r="L10" s="6"/>
      <c r="M10" s="7"/>
      <c r="Z10" s="1028"/>
      <c r="AA10" s="1029"/>
      <c r="AB10" s="357"/>
    </row>
    <row r="11" spans="1:28" ht="30" x14ac:dyDescent="0.25">
      <c r="A11" s="98" t="s">
        <v>29</v>
      </c>
      <c r="B11" s="1034"/>
      <c r="C11" s="1035"/>
      <c r="D11" s="1035"/>
      <c r="E11" s="1035"/>
      <c r="G11" s="254">
        <v>60</v>
      </c>
      <c r="H11" s="131" t="s">
        <v>568</v>
      </c>
      <c r="I11" s="6"/>
      <c r="J11" s="6"/>
      <c r="K11" s="6"/>
      <c r="L11" s="6"/>
      <c r="Z11" s="1028" t="s">
        <v>613</v>
      </c>
      <c r="AA11" s="1029"/>
      <c r="AB11" s="357">
        <v>0.26819999999999999</v>
      </c>
    </row>
    <row r="12" spans="1:28" ht="30" customHeight="1" x14ac:dyDescent="0.25">
      <c r="A12" s="98" t="s">
        <v>14</v>
      </c>
      <c r="B12" s="1010" t="s">
        <v>939</v>
      </c>
      <c r="C12" s="1010"/>
      <c r="D12" s="1010"/>
      <c r="E12" s="1010"/>
      <c r="G12" s="252">
        <v>80</v>
      </c>
      <c r="H12" s="1" t="s">
        <v>569</v>
      </c>
      <c r="I12" s="6"/>
      <c r="J12" s="6"/>
      <c r="K12" s="6"/>
      <c r="L12" s="6"/>
      <c r="Z12" s="1028" t="s">
        <v>614</v>
      </c>
      <c r="AA12" s="1029"/>
      <c r="AB12" s="357">
        <v>1.18E-2</v>
      </c>
    </row>
    <row r="13" spans="1:28" ht="30" customHeight="1" x14ac:dyDescent="0.25">
      <c r="A13" s="98" t="s">
        <v>3</v>
      </c>
      <c r="B13" s="1011" t="s">
        <v>943</v>
      </c>
      <c r="C13" s="1011"/>
      <c r="D13" s="1011"/>
      <c r="E13" s="1011"/>
      <c r="Z13" s="1028" t="s">
        <v>615</v>
      </c>
      <c r="AA13" s="1029"/>
      <c r="AB13" s="358">
        <f>AB15/0.55</f>
        <v>0.50363636363636366</v>
      </c>
    </row>
    <row r="14" spans="1:28" ht="30" customHeight="1" x14ac:dyDescent="0.25">
      <c r="A14" s="98" t="s">
        <v>15</v>
      </c>
      <c r="B14" s="1010"/>
      <c r="C14" s="1010"/>
      <c r="D14" s="1010"/>
      <c r="E14" s="1010"/>
      <c r="G14" s="61" t="s">
        <v>108</v>
      </c>
      <c r="H14" s="61" t="s">
        <v>223</v>
      </c>
      <c r="I14" s="62" t="s">
        <v>109</v>
      </c>
      <c r="J14" s="62" t="s">
        <v>224</v>
      </c>
      <c r="K14" s="60" t="s">
        <v>220</v>
      </c>
      <c r="L14" s="60" t="s">
        <v>150</v>
      </c>
      <c r="Z14" s="1028" t="s">
        <v>616</v>
      </c>
      <c r="AA14" s="1029"/>
      <c r="AB14" s="357">
        <v>0.26819999999999999</v>
      </c>
    </row>
    <row r="15" spans="1:28" ht="30" customHeight="1" x14ac:dyDescent="0.25">
      <c r="A15" s="98" t="s">
        <v>4</v>
      </c>
      <c r="B15" s="1010">
        <v>2015</v>
      </c>
      <c r="C15" s="1010"/>
      <c r="D15" s="1010"/>
      <c r="E15" s="1010"/>
      <c r="F15" s="6"/>
      <c r="G15" s="61">
        <f>SUM(G11:L11)</f>
        <v>60</v>
      </c>
      <c r="H15" s="61">
        <f>G12</f>
        <v>80</v>
      </c>
      <c r="I15" s="62">
        <v>6</v>
      </c>
      <c r="J15" s="62">
        <v>215</v>
      </c>
      <c r="K15" s="62">
        <v>1.6</v>
      </c>
      <c r="L15" s="62">
        <f>AB8</f>
        <v>0.26819999999999999</v>
      </c>
      <c r="Z15" s="1028" t="s">
        <v>578</v>
      </c>
      <c r="AA15" s="1029"/>
      <c r="AB15" s="357">
        <v>0.27700000000000002</v>
      </c>
    </row>
    <row r="16" spans="1:28" ht="30" customHeight="1" x14ac:dyDescent="0.25">
      <c r="A16" s="98" t="s">
        <v>5</v>
      </c>
      <c r="B16" s="1010">
        <v>2030</v>
      </c>
      <c r="C16" s="1010"/>
      <c r="D16" s="1010"/>
      <c r="E16" s="1010"/>
      <c r="F16" s="6"/>
      <c r="G16" s="55"/>
      <c r="H16" s="55"/>
      <c r="I16" s="62">
        <v>100</v>
      </c>
      <c r="J16" s="55"/>
      <c r="K16" s="55"/>
      <c r="L16" s="55"/>
      <c r="Z16" s="1028" t="s">
        <v>579</v>
      </c>
      <c r="AA16" s="1029"/>
      <c r="AB16" s="357">
        <v>0.20269999999999999</v>
      </c>
    </row>
    <row r="17" spans="1:12" ht="30" customHeight="1" x14ac:dyDescent="0.25">
      <c r="A17" s="98" t="s">
        <v>6</v>
      </c>
      <c r="B17" s="1012">
        <v>0</v>
      </c>
      <c r="C17" s="1012"/>
      <c r="D17" s="1012"/>
      <c r="E17" s="1012"/>
      <c r="F17" s="6"/>
      <c r="G17" s="55"/>
      <c r="H17" s="55"/>
      <c r="I17" s="55"/>
      <c r="J17" s="55"/>
      <c r="K17" s="55"/>
      <c r="L17" s="55"/>
    </row>
    <row r="18" spans="1:12" ht="30" customHeight="1" x14ac:dyDescent="0.25">
      <c r="A18" s="98" t="s">
        <v>7</v>
      </c>
      <c r="B18" s="1012">
        <v>0</v>
      </c>
      <c r="C18" s="1012"/>
      <c r="D18" s="1012"/>
      <c r="E18" s="1012"/>
      <c r="F18" s="6"/>
      <c r="G18" s="55"/>
      <c r="H18" s="55"/>
      <c r="I18" s="55"/>
      <c r="J18" s="55"/>
      <c r="K18" s="55"/>
      <c r="L18" s="55"/>
    </row>
    <row r="19" spans="1:12" ht="30" customHeight="1" x14ac:dyDescent="0.25">
      <c r="A19" s="99" t="s">
        <v>307</v>
      </c>
      <c r="B19" s="1039">
        <f>H20*10</f>
        <v>464400</v>
      </c>
      <c r="C19" s="1040"/>
      <c r="D19" s="1040"/>
      <c r="E19" s="1040"/>
      <c r="F19" s="6"/>
      <c r="G19" s="62" t="s">
        <v>110</v>
      </c>
      <c r="H19" s="62">
        <f>G15*0.75*H15*J15</f>
        <v>774000</v>
      </c>
      <c r="I19" s="55"/>
      <c r="J19" s="55"/>
      <c r="K19" s="55"/>
      <c r="L19" s="55"/>
    </row>
    <row r="20" spans="1:12" ht="30" customHeight="1" x14ac:dyDescent="0.25">
      <c r="A20" s="96" t="s">
        <v>306</v>
      </c>
      <c r="B20" s="1041"/>
      <c r="C20" s="1042"/>
      <c r="D20" s="1042"/>
      <c r="E20" s="1042"/>
      <c r="F20" s="6"/>
      <c r="G20" s="62" t="s">
        <v>107</v>
      </c>
      <c r="H20" s="62">
        <f>H19*I15/I16</f>
        <v>46440</v>
      </c>
      <c r="I20" s="55"/>
      <c r="J20" s="55"/>
      <c r="K20" s="55"/>
      <c r="L20" s="55"/>
    </row>
    <row r="21" spans="1:12" ht="30" customHeight="1" x14ac:dyDescent="0.25">
      <c r="A21" s="98" t="s">
        <v>8</v>
      </c>
      <c r="B21" s="1000">
        <f>K15*J15/10</f>
        <v>34.4</v>
      </c>
      <c r="C21" s="1000"/>
      <c r="D21" s="1000"/>
      <c r="E21" s="1000"/>
      <c r="F21" s="6"/>
      <c r="G21" s="6">
        <v>1.6</v>
      </c>
      <c r="H21" s="6"/>
      <c r="I21" s="6"/>
      <c r="J21" s="6"/>
    </row>
    <row r="22" spans="1:12" ht="30" customHeight="1" x14ac:dyDescent="0.25">
      <c r="A22" s="98" t="s">
        <v>9</v>
      </c>
      <c r="B22" s="1000"/>
      <c r="C22" s="1000"/>
      <c r="D22" s="1000"/>
      <c r="E22" s="1000"/>
      <c r="F22" s="6"/>
      <c r="G22" s="6"/>
      <c r="H22" s="6"/>
      <c r="I22" s="6"/>
      <c r="J22" s="6"/>
    </row>
    <row r="23" spans="1:12" ht="30" customHeight="1" x14ac:dyDescent="0.25">
      <c r="A23" s="98" t="s">
        <v>301</v>
      </c>
      <c r="B23" s="1016">
        <f>B17/(B21+B22)</f>
        <v>0</v>
      </c>
      <c r="C23" s="1016"/>
      <c r="D23" s="1016"/>
      <c r="E23" s="1016"/>
      <c r="F23" s="6"/>
      <c r="G23" s="6"/>
      <c r="H23" s="6"/>
      <c r="I23" s="6"/>
      <c r="J23" s="6"/>
    </row>
    <row r="24" spans="1:12" ht="30" customHeight="1" x14ac:dyDescent="0.25">
      <c r="A24" s="98" t="s">
        <v>302</v>
      </c>
      <c r="B24" s="1017">
        <f>(B17-B18)/(B21+B22)</f>
        <v>0</v>
      </c>
      <c r="C24" s="1017"/>
      <c r="D24" s="1017"/>
      <c r="E24" s="1017"/>
      <c r="F24" s="6"/>
      <c r="G24" s="6"/>
      <c r="H24" s="6"/>
      <c r="I24" s="6"/>
      <c r="J24" s="6"/>
    </row>
    <row r="25" spans="1:12" ht="30" customHeight="1" x14ac:dyDescent="0.25">
      <c r="A25" s="100" t="s">
        <v>305</v>
      </c>
      <c r="B25" s="1070">
        <f>B19/1000*L15</f>
        <v>124.55207999999999</v>
      </c>
      <c r="C25" s="1070"/>
      <c r="D25" s="1070"/>
      <c r="E25" s="1070"/>
      <c r="F25" s="6"/>
      <c r="G25" s="6">
        <v>0.26100000000000001</v>
      </c>
      <c r="H25" s="6"/>
      <c r="I25" s="6"/>
      <c r="J25" s="6"/>
    </row>
    <row r="26" spans="1:12" ht="30" customHeight="1" x14ac:dyDescent="0.25">
      <c r="A26" s="101" t="s">
        <v>303</v>
      </c>
      <c r="B26" s="1021">
        <f>B25/'Objectifs CO2'!C10</f>
        <v>3.8297111940782537E-2</v>
      </c>
      <c r="C26" s="1021"/>
      <c r="D26" s="1021"/>
      <c r="E26" s="1021"/>
      <c r="F26" s="6"/>
      <c r="G26" s="6"/>
      <c r="H26" s="6"/>
      <c r="I26" s="6"/>
      <c r="J26" s="6"/>
    </row>
    <row r="27" spans="1:12" ht="30" customHeight="1" x14ac:dyDescent="0.25">
      <c r="A27" s="101" t="s">
        <v>304</v>
      </c>
      <c r="B27" s="1044">
        <f>B25/'Objectifs CO2'!C4</f>
        <v>5.7445667911173804E-3</v>
      </c>
      <c r="C27" s="1045"/>
      <c r="D27" s="1045"/>
      <c r="E27" s="1045"/>
      <c r="F27" s="6"/>
      <c r="G27" s="6"/>
      <c r="H27" s="6"/>
      <c r="I27" s="6"/>
      <c r="J27" s="6"/>
    </row>
    <row r="28" spans="1:12" ht="30" customHeight="1" x14ac:dyDescent="0.25">
      <c r="A28" s="101" t="s">
        <v>22</v>
      </c>
      <c r="B28" s="999" t="s">
        <v>10</v>
      </c>
      <c r="C28" s="999"/>
      <c r="D28" s="999"/>
      <c r="E28" s="999"/>
      <c r="F28" s="6"/>
      <c r="G28" s="6"/>
      <c r="H28" s="6"/>
      <c r="I28" s="6"/>
      <c r="J28" s="6"/>
    </row>
    <row r="29" spans="1:12" ht="30" customHeight="1" x14ac:dyDescent="0.25">
      <c r="A29" s="101" t="s">
        <v>257</v>
      </c>
      <c r="B29" s="999"/>
      <c r="C29" s="999"/>
      <c r="D29" s="999"/>
      <c r="E29" s="999"/>
    </row>
    <row r="31" spans="1:12" x14ac:dyDescent="0.25">
      <c r="A31" s="603" t="s">
        <v>1065</v>
      </c>
      <c r="B31" s="1003" t="s">
        <v>675</v>
      </c>
      <c r="C31" s="1003"/>
      <c r="D31" s="1003"/>
      <c r="E31" s="56" t="s">
        <v>676</v>
      </c>
      <c r="F31" s="6"/>
      <c r="G31" s="6"/>
      <c r="H31" s="6"/>
      <c r="I31" s="6"/>
    </row>
    <row r="32" spans="1:12"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A52:A62"/>
    <mergeCell ref="B52:F52"/>
    <mergeCell ref="G52:L52"/>
    <mergeCell ref="B53:F53"/>
    <mergeCell ref="G53:L53"/>
    <mergeCell ref="B54:F54"/>
    <mergeCell ref="G54:L54"/>
    <mergeCell ref="H35:I35"/>
    <mergeCell ref="B36:D36"/>
    <mergeCell ref="B42:D42"/>
    <mergeCell ref="B44:D44"/>
    <mergeCell ref="B37:D37"/>
    <mergeCell ref="G59:L59"/>
    <mergeCell ref="B60:F60"/>
    <mergeCell ref="G60:L60"/>
    <mergeCell ref="B61:F61"/>
    <mergeCell ref="G61:L61"/>
    <mergeCell ref="G46:L46"/>
    <mergeCell ref="B38:D38"/>
    <mergeCell ref="B39:D39"/>
    <mergeCell ref="B40:D40"/>
    <mergeCell ref="B41:D41"/>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G7:H7"/>
    <mergeCell ref="B25:E25"/>
    <mergeCell ref="B19:E19"/>
    <mergeCell ref="B20:E20"/>
    <mergeCell ref="B21:E21"/>
    <mergeCell ref="B22:E22"/>
    <mergeCell ref="B23:E23"/>
    <mergeCell ref="Z16:AA16"/>
    <mergeCell ref="Z11:AA11"/>
    <mergeCell ref="Z12:AA12"/>
    <mergeCell ref="Z13:AA13"/>
    <mergeCell ref="Z14:AA14"/>
    <mergeCell ref="Z15:AA15"/>
    <mergeCell ref="B16:E16"/>
    <mergeCell ref="B11:E11"/>
    <mergeCell ref="B12:E12"/>
    <mergeCell ref="B13:E13"/>
    <mergeCell ref="B15:E15"/>
    <mergeCell ref="B27:E27"/>
    <mergeCell ref="B17:E17"/>
    <mergeCell ref="B18:E18"/>
    <mergeCell ref="B24:E24"/>
    <mergeCell ref="B26:E26"/>
    <mergeCell ref="B33:D33"/>
    <mergeCell ref="B10:E10"/>
    <mergeCell ref="H33:I33"/>
    <mergeCell ref="G8:G10"/>
    <mergeCell ref="G40:I40"/>
    <mergeCell ref="B34:D34"/>
    <mergeCell ref="H34:I34"/>
    <mergeCell ref="B35:D35"/>
    <mergeCell ref="B8:E8"/>
    <mergeCell ref="B9:E9"/>
    <mergeCell ref="A1:E1"/>
    <mergeCell ref="B2:E2"/>
    <mergeCell ref="G2:H2"/>
    <mergeCell ref="B3:E3"/>
    <mergeCell ref="G3:H3"/>
    <mergeCell ref="B4:E4"/>
    <mergeCell ref="B5:E5"/>
    <mergeCell ref="B6:E6"/>
    <mergeCell ref="B7:E7"/>
    <mergeCell ref="G6:H6"/>
    <mergeCell ref="G4:H4"/>
    <mergeCell ref="G5:H5"/>
    <mergeCell ref="B31:D31"/>
    <mergeCell ref="B32:D32"/>
    <mergeCell ref="G32:I32"/>
    <mergeCell ref="B29:E29"/>
    <mergeCell ref="B14:E14"/>
    <mergeCell ref="B28:E28"/>
  </mergeCells>
  <conditionalFormatting sqref="B5">
    <cfRule type="containsText" dxfId="176" priority="1" operator="containsText" text="Terminé">
      <formula>NOT(ISERROR(SEARCH("Terminé",B5)))</formula>
    </cfRule>
    <cfRule type="containsText" dxfId="175" priority="2" operator="containsText" text="En cours">
      <formula>NOT(ISERROR(SEARCH("En cours",B5)))</formula>
    </cfRule>
    <cfRule type="containsText" dxfId="17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0" zoomScaleNormal="100"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810</v>
      </c>
      <c r="C2" s="1068"/>
      <c r="D2" s="1068"/>
      <c r="E2" s="1068"/>
      <c r="F2" s="7"/>
      <c r="G2" s="986" t="s">
        <v>751</v>
      </c>
      <c r="H2" s="986"/>
    </row>
    <row r="3" spans="1:28" ht="19.5" customHeight="1" x14ac:dyDescent="0.25">
      <c r="A3" s="409" t="s">
        <v>743</v>
      </c>
      <c r="B3" s="987" t="s">
        <v>746</v>
      </c>
      <c r="C3" s="987"/>
      <c r="D3" s="987"/>
      <c r="E3" s="987"/>
      <c r="F3" s="7"/>
      <c r="G3" s="986" t="s">
        <v>752</v>
      </c>
      <c r="H3" s="986"/>
    </row>
    <row r="4" spans="1:28" ht="19.5" customHeight="1" x14ac:dyDescent="0.25">
      <c r="A4" s="403" t="s">
        <v>292</v>
      </c>
      <c r="B4" s="996" t="s">
        <v>34</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111</v>
      </c>
      <c r="C8" s="967"/>
      <c r="D8" s="967"/>
      <c r="E8" s="967"/>
      <c r="G8" s="997" t="s">
        <v>936</v>
      </c>
      <c r="Z8" s="1028" t="s">
        <v>611</v>
      </c>
      <c r="AA8" s="1029"/>
      <c r="AB8" s="357">
        <v>0.26819999999999999</v>
      </c>
    </row>
    <row r="9" spans="1:28" ht="24" customHeight="1" x14ac:dyDescent="0.25">
      <c r="A9" s="98" t="s">
        <v>0</v>
      </c>
      <c r="B9" s="967" t="s">
        <v>1050</v>
      </c>
      <c r="C9" s="967"/>
      <c r="D9" s="967"/>
      <c r="E9" s="967"/>
      <c r="G9" s="997"/>
      <c r="Z9" s="1028" t="s">
        <v>612</v>
      </c>
      <c r="AA9" s="1029"/>
      <c r="AB9" s="357">
        <v>3.1300000000000001E-2</v>
      </c>
    </row>
    <row r="10" spans="1:28" ht="15.75" x14ac:dyDescent="0.25">
      <c r="A10" s="98" t="s">
        <v>2</v>
      </c>
      <c r="B10" s="1034"/>
      <c r="C10" s="1035"/>
      <c r="D10" s="1035"/>
      <c r="E10" s="1035"/>
      <c r="G10" s="997"/>
      <c r="M10" s="7"/>
      <c r="Z10" s="1028"/>
      <c r="AA10" s="1029"/>
      <c r="AB10" s="357"/>
    </row>
    <row r="11" spans="1:28" ht="27" customHeight="1" x14ac:dyDescent="0.25">
      <c r="A11" s="98" t="s">
        <v>29</v>
      </c>
      <c r="B11" s="1034"/>
      <c r="C11" s="1035"/>
      <c r="D11" s="1035"/>
      <c r="E11" s="1035"/>
      <c r="G11" s="254">
        <v>1</v>
      </c>
      <c r="H11" s="131" t="s">
        <v>570</v>
      </c>
      <c r="Z11" s="1028" t="s">
        <v>613</v>
      </c>
      <c r="AA11" s="1029"/>
      <c r="AB11" s="357">
        <v>0.26819999999999999</v>
      </c>
    </row>
    <row r="12" spans="1:28" ht="30" customHeight="1" x14ac:dyDescent="0.25">
      <c r="A12" s="98" t="s">
        <v>14</v>
      </c>
      <c r="B12" s="1010" t="s">
        <v>939</v>
      </c>
      <c r="C12" s="1010"/>
      <c r="D12" s="1010"/>
      <c r="E12" s="1010"/>
      <c r="Z12" s="1028" t="s">
        <v>614</v>
      </c>
      <c r="AA12" s="1029"/>
      <c r="AB12" s="357">
        <v>1.18E-2</v>
      </c>
    </row>
    <row r="13" spans="1:28" ht="30" customHeight="1" x14ac:dyDescent="0.25">
      <c r="A13" s="98" t="s">
        <v>3</v>
      </c>
      <c r="B13" s="1011" t="s">
        <v>943</v>
      </c>
      <c r="C13" s="1011"/>
      <c r="D13" s="1011"/>
      <c r="E13" s="1011"/>
      <c r="G13" s="59" t="s">
        <v>225</v>
      </c>
      <c r="H13" s="60" t="s">
        <v>226</v>
      </c>
      <c r="I13" s="60" t="s">
        <v>109</v>
      </c>
      <c r="J13" s="60" t="s">
        <v>227</v>
      </c>
      <c r="K13" s="60" t="s">
        <v>120</v>
      </c>
      <c r="L13" s="60" t="s">
        <v>150</v>
      </c>
      <c r="M13" s="60" t="s">
        <v>228</v>
      </c>
      <c r="N13" s="60" t="s">
        <v>229</v>
      </c>
      <c r="O13" s="60" t="s">
        <v>230</v>
      </c>
      <c r="Z13" s="1028" t="s">
        <v>615</v>
      </c>
      <c r="AA13" s="1029"/>
      <c r="AB13" s="358">
        <f>AB15/0.55</f>
        <v>0.50363636363636366</v>
      </c>
    </row>
    <row r="14" spans="1:28" ht="30" customHeight="1" x14ac:dyDescent="0.25">
      <c r="A14" s="98" t="s">
        <v>15</v>
      </c>
      <c r="B14" s="1010"/>
      <c r="C14" s="1010"/>
      <c r="D14" s="1010"/>
      <c r="E14" s="1010"/>
      <c r="G14" s="61">
        <f>G11</f>
        <v>1</v>
      </c>
      <c r="H14" s="62">
        <v>15490</v>
      </c>
      <c r="I14" s="62">
        <v>6</v>
      </c>
      <c r="J14" s="62">
        <v>1.6</v>
      </c>
      <c r="K14" s="62">
        <v>0</v>
      </c>
      <c r="L14" s="62">
        <f>AB8</f>
        <v>0.26819999999999999</v>
      </c>
      <c r="M14" s="273">
        <v>0.38</v>
      </c>
      <c r="N14" s="273">
        <v>0.98</v>
      </c>
      <c r="O14" s="63">
        <f>AB15</f>
        <v>0.27700000000000002</v>
      </c>
      <c r="Z14" s="1028" t="s">
        <v>616</v>
      </c>
      <c r="AA14" s="1029"/>
      <c r="AB14" s="357">
        <v>0.26819999999999999</v>
      </c>
    </row>
    <row r="15" spans="1:28" ht="30" customHeight="1" x14ac:dyDescent="0.25">
      <c r="A15" s="98" t="s">
        <v>4</v>
      </c>
      <c r="B15" s="1010">
        <v>2018</v>
      </c>
      <c r="C15" s="1010"/>
      <c r="D15" s="1010"/>
      <c r="E15" s="1010"/>
      <c r="G15" s="55"/>
      <c r="H15" s="55"/>
      <c r="I15" s="62">
        <v>100</v>
      </c>
      <c r="J15" s="55"/>
      <c r="K15" s="55"/>
      <c r="L15" s="55"/>
      <c r="M15" s="55"/>
      <c r="N15" s="55"/>
      <c r="O15" s="55"/>
      <c r="Z15" s="1028" t="s">
        <v>578</v>
      </c>
      <c r="AA15" s="1029"/>
      <c r="AB15" s="357">
        <v>0.27700000000000002</v>
      </c>
    </row>
    <row r="16" spans="1:28" ht="30" customHeight="1" x14ac:dyDescent="0.25">
      <c r="A16" s="98" t="s">
        <v>5</v>
      </c>
      <c r="B16" s="1010">
        <v>2030</v>
      </c>
      <c r="C16" s="1010"/>
      <c r="D16" s="1010"/>
      <c r="E16" s="1010"/>
      <c r="G16" s="55"/>
      <c r="H16" s="55"/>
      <c r="I16" s="55"/>
      <c r="J16" s="55"/>
      <c r="K16" s="55"/>
      <c r="L16" s="55"/>
      <c r="M16" s="55"/>
      <c r="N16" s="55"/>
      <c r="O16" s="55"/>
      <c r="Z16" s="1028" t="s">
        <v>579</v>
      </c>
      <c r="AA16" s="1029"/>
      <c r="AB16" s="357">
        <v>0.20269999999999999</v>
      </c>
    </row>
    <row r="17" spans="1:22" ht="30" customHeight="1" x14ac:dyDescent="0.25">
      <c r="A17" s="98" t="s">
        <v>6</v>
      </c>
      <c r="B17" s="1000">
        <f>G14*H19</f>
        <v>30000</v>
      </c>
      <c r="C17" s="1000"/>
      <c r="D17" s="1000"/>
      <c r="E17" s="1000"/>
      <c r="G17" s="190"/>
      <c r="H17" s="1107" t="s">
        <v>492</v>
      </c>
      <c r="I17" s="1107"/>
      <c r="J17" s="1107" t="s">
        <v>493</v>
      </c>
      <c r="K17" s="1107"/>
      <c r="L17" s="55"/>
      <c r="M17" s="55"/>
      <c r="N17" s="55"/>
      <c r="O17" s="55"/>
    </row>
    <row r="18" spans="1:22" ht="30" customHeight="1" x14ac:dyDescent="0.25">
      <c r="A18" s="98" t="s">
        <v>7</v>
      </c>
      <c r="B18" s="1000">
        <v>0</v>
      </c>
      <c r="C18" s="1000"/>
      <c r="D18" s="1000"/>
      <c r="E18" s="1000"/>
      <c r="G18" s="190"/>
      <c r="H18" s="1107"/>
      <c r="I18" s="1107"/>
      <c r="J18" s="1107"/>
      <c r="K18" s="1107"/>
      <c r="L18" s="190"/>
      <c r="M18" s="190"/>
      <c r="N18" s="55"/>
      <c r="O18" s="55"/>
    </row>
    <row r="19" spans="1:22" ht="30" customHeight="1" x14ac:dyDescent="0.25">
      <c r="A19" s="99" t="s">
        <v>307</v>
      </c>
      <c r="B19" s="1039">
        <f>(I25-I28)</f>
        <v>5690.2040816326526</v>
      </c>
      <c r="C19" s="1040"/>
      <c r="D19" s="1040"/>
      <c r="E19" s="1040"/>
      <c r="G19" s="190"/>
      <c r="H19" s="1107">
        <v>30000</v>
      </c>
      <c r="I19" s="1107"/>
      <c r="J19" s="1107">
        <v>20000</v>
      </c>
      <c r="K19" s="1107"/>
      <c r="L19" s="9"/>
      <c r="M19" s="190"/>
      <c r="N19" s="55"/>
      <c r="O19" s="55"/>
    </row>
    <row r="20" spans="1:22" ht="30" customHeight="1" x14ac:dyDescent="0.25">
      <c r="A20" s="96" t="s">
        <v>306</v>
      </c>
      <c r="B20" s="1041"/>
      <c r="C20" s="1042"/>
      <c r="D20" s="1042"/>
      <c r="E20" s="1042"/>
      <c r="G20" s="190"/>
      <c r="H20" s="1107"/>
      <c r="I20" s="1107"/>
      <c r="J20" s="1107"/>
      <c r="K20" s="1107"/>
      <c r="L20" s="9"/>
      <c r="M20" s="190"/>
      <c r="N20" s="55"/>
      <c r="O20" s="55"/>
    </row>
    <row r="21" spans="1:22" ht="30" customHeight="1" x14ac:dyDescent="0.25">
      <c r="A21" s="98" t="s">
        <v>8</v>
      </c>
      <c r="B21" s="1000">
        <f>I22-I23</f>
        <v>1610.4326530612245</v>
      </c>
      <c r="C21" s="1000"/>
      <c r="D21" s="1000"/>
      <c r="E21" s="1000"/>
      <c r="G21" s="190"/>
      <c r="J21" s="190" t="s">
        <v>494</v>
      </c>
      <c r="K21" s="9"/>
      <c r="L21" s="9"/>
      <c r="M21" s="190"/>
      <c r="N21" s="55"/>
      <c r="O21" s="55"/>
    </row>
    <row r="22" spans="1:22" ht="30" customHeight="1" x14ac:dyDescent="0.25">
      <c r="A22" s="98" t="s">
        <v>9</v>
      </c>
      <c r="B22" s="1000"/>
      <c r="C22" s="1000"/>
      <c r="D22" s="1000"/>
      <c r="E22" s="1000"/>
      <c r="G22" s="1108" t="s">
        <v>231</v>
      </c>
      <c r="H22" s="1108"/>
      <c r="I22" s="75">
        <f>B19/10*J14+J22</f>
        <v>1710.4326530612245</v>
      </c>
      <c r="J22" s="211">
        <f>G14*800</f>
        <v>800</v>
      </c>
      <c r="K22" s="190"/>
      <c r="L22" s="9"/>
      <c r="M22" s="55"/>
      <c r="N22" s="55"/>
      <c r="O22" s="55"/>
    </row>
    <row r="23" spans="1:22" ht="30" customHeight="1" x14ac:dyDescent="0.25">
      <c r="A23" s="98" t="s">
        <v>301</v>
      </c>
      <c r="B23" s="1016">
        <f>(B17-J19*G14)/(B21+B22)</f>
        <v>6.2095114508460139</v>
      </c>
      <c r="C23" s="1016"/>
      <c r="D23" s="1016"/>
      <c r="E23" s="1016"/>
      <c r="G23" s="1108" t="s">
        <v>232</v>
      </c>
      <c r="H23" s="1108"/>
      <c r="I23" s="75">
        <f>B19*K14*M14/N14+J23</f>
        <v>100</v>
      </c>
      <c r="J23" s="211">
        <f>G14*100</f>
        <v>100</v>
      </c>
      <c r="K23" s="190"/>
      <c r="L23" s="190"/>
      <c r="M23" s="55"/>
      <c r="N23" s="55"/>
      <c r="O23" s="55"/>
    </row>
    <row r="24" spans="1:22" ht="30" customHeight="1" x14ac:dyDescent="0.25">
      <c r="A24" s="98" t="s">
        <v>302</v>
      </c>
      <c r="B24" s="1017">
        <f>(B17-(J19*G14)-B18)/(B21+B22)</f>
        <v>6.2095114508460139</v>
      </c>
      <c r="C24" s="1017"/>
      <c r="D24" s="1017"/>
      <c r="E24" s="1017"/>
      <c r="G24" s="190"/>
      <c r="H24" s="190"/>
      <c r="I24" s="190"/>
      <c r="J24" s="190"/>
      <c r="K24" s="190"/>
      <c r="L24" s="190"/>
      <c r="M24" s="55"/>
      <c r="N24" s="55"/>
      <c r="O24" s="55"/>
    </row>
    <row r="25" spans="1:22" ht="30" customHeight="1" x14ac:dyDescent="0.25">
      <c r="A25" s="100" t="s">
        <v>305</v>
      </c>
      <c r="B25" s="1070">
        <f>((I25/1000*L14)-(I28/1000*O14))</f>
        <v>1.4943993306122449</v>
      </c>
      <c r="C25" s="1070"/>
      <c r="D25" s="1070"/>
      <c r="E25" s="1070"/>
      <c r="G25" s="1109" t="s">
        <v>233</v>
      </c>
      <c r="H25" s="1109"/>
      <c r="I25" s="191">
        <f>H14*I14/I15*10*G14</f>
        <v>9294</v>
      </c>
      <c r="J25" s="56" t="s">
        <v>234</v>
      </c>
      <c r="K25" s="190"/>
      <c r="L25" s="190"/>
      <c r="M25" s="55"/>
      <c r="N25" s="55"/>
      <c r="O25" s="55"/>
    </row>
    <row r="26" spans="1:22" ht="30" customHeight="1" x14ac:dyDescent="0.25">
      <c r="A26" s="101" t="s">
        <v>303</v>
      </c>
      <c r="B26" s="1021">
        <f>B25/'Objectifs CO2'!C10</f>
        <v>4.5949596705801811E-4</v>
      </c>
      <c r="C26" s="1021"/>
      <c r="D26" s="1021"/>
      <c r="E26" s="1021"/>
      <c r="G26" s="1109" t="s">
        <v>235</v>
      </c>
      <c r="H26" s="1109"/>
      <c r="I26" s="76">
        <f>I25*M14</f>
        <v>3531.7200000000003</v>
      </c>
      <c r="J26" s="56" t="s">
        <v>234</v>
      </c>
      <c r="K26" s="190"/>
      <c r="L26" s="190"/>
      <c r="M26" s="55"/>
      <c r="N26" s="55"/>
      <c r="O26" s="55"/>
      <c r="V26" s="190"/>
    </row>
    <row r="27" spans="1:22" ht="30" customHeight="1" x14ac:dyDescent="0.25">
      <c r="A27" s="101" t="s">
        <v>304</v>
      </c>
      <c r="B27" s="1044">
        <f>B25/'Objectifs CO2'!C4</f>
        <v>6.8924395058702717E-5</v>
      </c>
      <c r="C27" s="1045"/>
      <c r="D27" s="1045"/>
      <c r="E27" s="1045"/>
      <c r="G27" s="1109" t="s">
        <v>236</v>
      </c>
      <c r="H27" s="1109"/>
      <c r="I27" s="76">
        <f>I26</f>
        <v>3531.7200000000003</v>
      </c>
      <c r="J27" s="56" t="s">
        <v>234</v>
      </c>
      <c r="K27" s="190"/>
      <c r="L27" s="190"/>
      <c r="M27" s="55"/>
      <c r="N27" s="55"/>
      <c r="O27" s="55"/>
    </row>
    <row r="28" spans="1:22" ht="30" customHeight="1" x14ac:dyDescent="0.25">
      <c r="A28" s="101" t="s">
        <v>22</v>
      </c>
      <c r="B28" s="1010"/>
      <c r="C28" s="1010"/>
      <c r="D28" s="1010"/>
      <c r="E28" s="1010"/>
      <c r="G28" s="1109" t="s">
        <v>203</v>
      </c>
      <c r="H28" s="1109"/>
      <c r="I28" s="76">
        <f>I27/N14</f>
        <v>3603.7959183673474</v>
      </c>
      <c r="J28" s="56" t="s">
        <v>234</v>
      </c>
      <c r="K28" s="190"/>
      <c r="L28" s="190"/>
      <c r="M28" s="55"/>
      <c r="N28" s="55"/>
      <c r="O28" s="55"/>
    </row>
    <row r="29" spans="1:22" ht="30" customHeight="1" x14ac:dyDescent="0.25">
      <c r="A29" s="101" t="s">
        <v>257</v>
      </c>
      <c r="B29" s="999"/>
      <c r="C29" s="999"/>
      <c r="D29" s="999"/>
      <c r="E29" s="999"/>
    </row>
    <row r="31" spans="1:22" x14ac:dyDescent="0.25">
      <c r="A31" s="603" t="s">
        <v>1065</v>
      </c>
      <c r="B31" s="1003" t="s">
        <v>675</v>
      </c>
      <c r="C31" s="1003"/>
      <c r="D31" s="1003"/>
      <c r="E31" s="56" t="s">
        <v>676</v>
      </c>
    </row>
    <row r="32" spans="1:22"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J19:K20"/>
    <mergeCell ref="H17:I18"/>
    <mergeCell ref="G23:H23"/>
    <mergeCell ref="B31:D31"/>
    <mergeCell ref="B32:D32"/>
    <mergeCell ref="G28:H28"/>
    <mergeCell ref="J17:K18"/>
    <mergeCell ref="B22:E22"/>
    <mergeCell ref="G22:H22"/>
    <mergeCell ref="G32:I32"/>
    <mergeCell ref="G25:H25"/>
    <mergeCell ref="G26:H26"/>
    <mergeCell ref="G27:H27"/>
    <mergeCell ref="B20:E20"/>
    <mergeCell ref="B21:E21"/>
    <mergeCell ref="B8:E8"/>
    <mergeCell ref="B9:E9"/>
    <mergeCell ref="B10:E10"/>
    <mergeCell ref="B17:E17"/>
    <mergeCell ref="B18:E18"/>
    <mergeCell ref="B19:E19"/>
    <mergeCell ref="B16:E16"/>
    <mergeCell ref="B11:E11"/>
    <mergeCell ref="B12:E12"/>
    <mergeCell ref="B13:E13"/>
    <mergeCell ref="B14:E14"/>
    <mergeCell ref="B15:E15"/>
    <mergeCell ref="H35:I35"/>
    <mergeCell ref="B36:D36"/>
    <mergeCell ref="B33:D33"/>
    <mergeCell ref="H33:I33"/>
    <mergeCell ref="B23:E23"/>
    <mergeCell ref="B24:E24"/>
    <mergeCell ref="B29:E29"/>
    <mergeCell ref="B28:E28"/>
    <mergeCell ref="Z5:AB5"/>
    <mergeCell ref="Z6:AA6"/>
    <mergeCell ref="Z8:AA8"/>
    <mergeCell ref="Z9:AA9"/>
    <mergeCell ref="Z10:AA10"/>
    <mergeCell ref="Z16:AA16"/>
    <mergeCell ref="Z11:AA11"/>
    <mergeCell ref="Z12:AA12"/>
    <mergeCell ref="Z13:AA13"/>
    <mergeCell ref="Z14:AA14"/>
    <mergeCell ref="Z15:AA15"/>
    <mergeCell ref="G8:G10"/>
    <mergeCell ref="H19:I20"/>
    <mergeCell ref="B25:E25"/>
    <mergeCell ref="B26:E26"/>
    <mergeCell ref="B27:E27"/>
    <mergeCell ref="B42:D42"/>
    <mergeCell ref="B44:D44"/>
    <mergeCell ref="B37:D37"/>
    <mergeCell ref="B38:D38"/>
    <mergeCell ref="B39:D39"/>
    <mergeCell ref="B40:D40"/>
    <mergeCell ref="B41:D41"/>
    <mergeCell ref="G7:H7"/>
    <mergeCell ref="A1:E1"/>
    <mergeCell ref="B2:E2"/>
    <mergeCell ref="G2:H2"/>
    <mergeCell ref="B3:E3"/>
    <mergeCell ref="G3:H3"/>
    <mergeCell ref="B4:E4"/>
    <mergeCell ref="B5:E5"/>
    <mergeCell ref="B6:E6"/>
    <mergeCell ref="B7:E7"/>
    <mergeCell ref="G4:H4"/>
    <mergeCell ref="G5:H5"/>
    <mergeCell ref="G6:H6"/>
    <mergeCell ref="G40:I40"/>
    <mergeCell ref="B34:D34"/>
    <mergeCell ref="H34:I34"/>
    <mergeCell ref="B35:D35"/>
  </mergeCells>
  <conditionalFormatting sqref="B5">
    <cfRule type="containsText" dxfId="173" priority="1" operator="containsText" text="Terminé">
      <formula>NOT(ISERROR(SEARCH("Terminé",B5)))</formula>
    </cfRule>
    <cfRule type="containsText" dxfId="172" priority="2" operator="containsText" text="En cours">
      <formula>NOT(ISERROR(SEARCH("En cours",B5)))</formula>
    </cfRule>
    <cfRule type="containsText" dxfId="17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E70E"/>
  </sheetPr>
  <dimension ref="A1:AP68"/>
  <sheetViews>
    <sheetView topLeftCell="A34" workbookViewId="0">
      <selection activeCell="C38" sqref="C38:G45"/>
    </sheetView>
  </sheetViews>
  <sheetFormatPr baseColWidth="10" defaultColWidth="7.85546875" defaultRowHeight="15" x14ac:dyDescent="0.25"/>
  <cols>
    <col min="1" max="1" width="7.85546875" style="156"/>
    <col min="2" max="2" width="16.42578125" style="156" bestFit="1" customWidth="1"/>
    <col min="3" max="3" width="14.5703125" style="156" bestFit="1" customWidth="1"/>
    <col min="4" max="4" width="13" style="156" bestFit="1" customWidth="1"/>
    <col min="5" max="5" width="20.140625" style="156" bestFit="1" customWidth="1"/>
    <col min="6" max="6" width="16.7109375" style="156" bestFit="1" customWidth="1"/>
    <col min="7" max="7" width="7.7109375" style="156" bestFit="1" customWidth="1"/>
    <col min="8" max="9" width="7.85546875" style="156"/>
    <col min="10" max="42" width="7.85546875" style="293"/>
    <col min="43" max="16384" width="7.85546875" style="7"/>
  </cols>
  <sheetData>
    <row r="1" spans="1:42" s="294" customFormat="1" ht="18.75" x14ac:dyDescent="0.3">
      <c r="A1" s="291" t="s">
        <v>47</v>
      </c>
      <c r="B1" s="292"/>
      <c r="C1" s="292"/>
      <c r="D1" s="980" t="s">
        <v>604</v>
      </c>
      <c r="E1" s="980"/>
      <c r="F1" s="980"/>
      <c r="G1" s="292"/>
      <c r="H1" s="292"/>
      <c r="I1" s="292"/>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row>
    <row r="2" spans="1:42" s="294" customFormat="1" x14ac:dyDescent="0.25">
      <c r="A2" s="292"/>
      <c r="B2" s="292"/>
      <c r="C2" s="292"/>
      <c r="D2" s="292"/>
      <c r="E2" s="292"/>
      <c r="F2" s="292"/>
      <c r="G2" s="292"/>
      <c r="H2" s="292"/>
      <c r="I2" s="292"/>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row>
    <row r="3" spans="1:42" s="294" customFormat="1" x14ac:dyDescent="0.25">
      <c r="A3" s="292"/>
      <c r="B3" s="295" t="s">
        <v>14</v>
      </c>
      <c r="C3" s="295" t="s">
        <v>44</v>
      </c>
      <c r="D3" s="295" t="s">
        <v>7</v>
      </c>
      <c r="E3" s="295" t="s">
        <v>45</v>
      </c>
      <c r="F3" s="295" t="s">
        <v>46</v>
      </c>
      <c r="G3" s="292"/>
      <c r="H3" s="296" t="s">
        <v>13</v>
      </c>
      <c r="I3" s="292"/>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row>
    <row r="4" spans="1:42" s="294" customFormat="1" x14ac:dyDescent="0.25">
      <c r="A4" s="292"/>
      <c r="B4" s="297" t="s">
        <v>939</v>
      </c>
      <c r="C4" s="298">
        <f>'Synthèse CO2'!BK138</f>
        <v>16322092.494010057</v>
      </c>
      <c r="D4" s="298">
        <f>'Synthèse CO2'!BR138</f>
        <v>3696544.4472030168</v>
      </c>
      <c r="E4" s="298">
        <f t="shared" ref="E4:E9" si="0">C4-D4</f>
        <v>12625548.04680704</v>
      </c>
      <c r="F4" s="299">
        <f t="shared" ref="F4:F9" si="1">E4/5</f>
        <v>2525109.6093614078</v>
      </c>
      <c r="G4" s="292"/>
      <c r="H4" s="300">
        <f t="shared" ref="H4:H10" si="2">C4/C$10</f>
        <v>0.36433265940482373</v>
      </c>
      <c r="I4" s="292"/>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row>
    <row r="5" spans="1:42" s="294" customFormat="1" x14ac:dyDescent="0.25">
      <c r="A5" s="292"/>
      <c r="B5" s="297" t="s">
        <v>35</v>
      </c>
      <c r="C5" s="298">
        <f>'Synthèse CO2'!BG138</f>
        <v>0</v>
      </c>
      <c r="D5" s="298">
        <f>'Synthèse CO2'!BN138</f>
        <v>0</v>
      </c>
      <c r="E5" s="298">
        <f t="shared" si="0"/>
        <v>0</v>
      </c>
      <c r="F5" s="299">
        <f t="shared" si="1"/>
        <v>0</v>
      </c>
      <c r="G5" s="292"/>
      <c r="H5" s="300">
        <f t="shared" si="2"/>
        <v>0</v>
      </c>
      <c r="I5" s="292"/>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row>
    <row r="6" spans="1:42" s="294" customFormat="1" x14ac:dyDescent="0.25">
      <c r="A6" s="292"/>
      <c r="B6" s="297" t="s">
        <v>32</v>
      </c>
      <c r="C6" s="298">
        <f>'Synthèse CO2'!BI138</f>
        <v>17648160.600068919</v>
      </c>
      <c r="D6" s="298">
        <f>'Synthèse CO2'!BP138</f>
        <v>1108540.7296500402</v>
      </c>
      <c r="E6" s="298">
        <f t="shared" si="0"/>
        <v>16539619.87041888</v>
      </c>
      <c r="F6" s="299">
        <f t="shared" si="1"/>
        <v>3307923.9740837761</v>
      </c>
      <c r="G6" s="292"/>
      <c r="H6" s="300">
        <f t="shared" si="2"/>
        <v>0.39393241322374395</v>
      </c>
      <c r="I6" s="292"/>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row>
    <row r="7" spans="1:42" s="294" customFormat="1" x14ac:dyDescent="0.25">
      <c r="A7" s="292"/>
      <c r="B7" s="301" t="s">
        <v>339</v>
      </c>
      <c r="C7" s="298">
        <f>'Synthèse CO2'!BJ138</f>
        <v>0</v>
      </c>
      <c r="D7" s="298">
        <f>'Synthèse CO2'!BQ138</f>
        <v>0</v>
      </c>
      <c r="E7" s="298">
        <f t="shared" si="0"/>
        <v>0</v>
      </c>
      <c r="F7" s="299">
        <f t="shared" si="1"/>
        <v>0</v>
      </c>
      <c r="G7" s="292"/>
      <c r="H7" s="300">
        <f t="shared" si="2"/>
        <v>0</v>
      </c>
      <c r="I7" s="292"/>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row>
    <row r="8" spans="1:42" s="294" customFormat="1" x14ac:dyDescent="0.25">
      <c r="A8" s="292"/>
      <c r="B8" s="302" t="s">
        <v>54</v>
      </c>
      <c r="C8" s="298">
        <f>'Synthèse CO2'!BH138</f>
        <v>8850312.6817332674</v>
      </c>
      <c r="D8" s="298">
        <f>'Synthèse CO2'!BO138</f>
        <v>881031.26817332674</v>
      </c>
      <c r="E8" s="298">
        <f t="shared" si="0"/>
        <v>7969281.4135599406</v>
      </c>
      <c r="F8" s="299">
        <f t="shared" si="1"/>
        <v>1593856.2827119881</v>
      </c>
      <c r="G8" s="292"/>
      <c r="H8" s="300">
        <f t="shared" si="2"/>
        <v>0.19755175122818611</v>
      </c>
      <c r="I8" s="292"/>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row>
    <row r="9" spans="1:42" s="294" customFormat="1" x14ac:dyDescent="0.25">
      <c r="A9" s="292"/>
      <c r="B9" s="302" t="s">
        <v>38</v>
      </c>
      <c r="C9" s="303">
        <f>'Synthèse CO2'!BL138</f>
        <v>1979405</v>
      </c>
      <c r="D9" s="298">
        <f>'Synthèse CO2'!BS138</f>
        <v>90000</v>
      </c>
      <c r="E9" s="298">
        <f t="shared" si="0"/>
        <v>1889405</v>
      </c>
      <c r="F9" s="299">
        <f t="shared" si="1"/>
        <v>377881</v>
      </c>
      <c r="G9" s="292"/>
      <c r="H9" s="300">
        <f t="shared" si="2"/>
        <v>4.4183176143246329E-2</v>
      </c>
      <c r="I9" s="292"/>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row>
    <row r="10" spans="1:42" s="294" customFormat="1" x14ac:dyDescent="0.25">
      <c r="A10" s="292"/>
      <c r="B10" s="304" t="s">
        <v>247</v>
      </c>
      <c r="C10" s="305">
        <f>SUM(C4:C9)</f>
        <v>44799970.775812238</v>
      </c>
      <c r="D10" s="306">
        <f>SUM(D4:D9)</f>
        <v>5776116.4450263837</v>
      </c>
      <c r="E10" s="306">
        <f>SUM(E4:E9)</f>
        <v>39023854.330785863</v>
      </c>
      <c r="F10" s="306">
        <f>SUM(F4:F9)</f>
        <v>7804770.8661571722</v>
      </c>
      <c r="G10" s="292"/>
      <c r="H10" s="300">
        <f t="shared" si="2"/>
        <v>1</v>
      </c>
      <c r="I10" s="292"/>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row>
    <row r="11" spans="1:42" s="294" customFormat="1" x14ac:dyDescent="0.25">
      <c r="A11" s="292"/>
      <c r="B11" s="292"/>
      <c r="C11" s="292"/>
      <c r="D11" s="292"/>
      <c r="E11" s="292"/>
      <c r="F11" s="292"/>
      <c r="G11" s="292"/>
      <c r="H11" s="292"/>
      <c r="I11" s="292"/>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row>
    <row r="12" spans="1:42" s="294" customFormat="1" ht="18.75" x14ac:dyDescent="0.3">
      <c r="A12" s="291" t="s">
        <v>48</v>
      </c>
      <c r="B12" s="307"/>
      <c r="C12" s="292"/>
      <c r="D12" s="292"/>
      <c r="E12" s="292"/>
      <c r="F12" s="292"/>
      <c r="G12" s="292"/>
      <c r="H12" s="292"/>
      <c r="I12" s="292"/>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row>
    <row r="13" spans="1:42" s="294" customFormat="1" x14ac:dyDescent="0.25">
      <c r="A13" s="292"/>
      <c r="B13" s="292"/>
      <c r="C13" s="292"/>
      <c r="D13" s="292"/>
      <c r="E13" s="292"/>
      <c r="F13" s="292"/>
      <c r="G13" s="292"/>
      <c r="H13" s="292"/>
      <c r="I13" s="292"/>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row>
    <row r="14" spans="1:42" s="294" customFormat="1" x14ac:dyDescent="0.25">
      <c r="A14" s="292"/>
      <c r="B14" s="297" t="s">
        <v>292</v>
      </c>
      <c r="C14" s="295" t="s">
        <v>43</v>
      </c>
      <c r="D14" s="295" t="s">
        <v>7</v>
      </c>
      <c r="E14" s="295" t="s">
        <v>8</v>
      </c>
      <c r="F14" s="295" t="s">
        <v>26</v>
      </c>
      <c r="G14" s="308" t="s">
        <v>27</v>
      </c>
      <c r="H14" s="296" t="s">
        <v>13</v>
      </c>
      <c r="I14" s="292"/>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row>
    <row r="15" spans="1:42" s="294" customFormat="1" x14ac:dyDescent="0.25">
      <c r="A15" s="292"/>
      <c r="B15" s="297" t="s">
        <v>39</v>
      </c>
      <c r="C15" s="309">
        <f>'Synthèse CO2'!AA138</f>
        <v>530734.82401005668</v>
      </c>
      <c r="D15" s="309">
        <f>'Synthèse CO2'!AI138</f>
        <v>134123.94720301699</v>
      </c>
      <c r="E15" s="309">
        <f>'Synthèse CO2'!AQ138</f>
        <v>79183.061907515483</v>
      </c>
      <c r="F15" s="309">
        <f>'Synthèse CO2'!AY138</f>
        <v>18006.560000000001</v>
      </c>
      <c r="G15" s="310">
        <f t="shared" ref="G15:G22" si="3">(C15-D15)/(E15+F15)</f>
        <v>4.0807945233540472</v>
      </c>
      <c r="H15" s="300">
        <f>C15/C$22</f>
        <v>1.1846767192459941E-2</v>
      </c>
      <c r="I15" s="292"/>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row>
    <row r="16" spans="1:42" s="294" customFormat="1" x14ac:dyDescent="0.25">
      <c r="A16" s="292"/>
      <c r="B16" s="297" t="s">
        <v>36</v>
      </c>
      <c r="C16" s="309">
        <f>'Synthèse CO2'!AB138</f>
        <v>0</v>
      </c>
      <c r="D16" s="309">
        <f>'Synthèse CO2'!AJ138</f>
        <v>0</v>
      </c>
      <c r="E16" s="309">
        <f>'Synthèse CO2'!AR138</f>
        <v>0</v>
      </c>
      <c r="F16" s="309">
        <f>'Synthèse CO2'!AZ138</f>
        <v>0</v>
      </c>
      <c r="G16" s="310" t="e">
        <f t="shared" si="3"/>
        <v>#DIV/0!</v>
      </c>
      <c r="H16" s="300">
        <f t="shared" ref="H16:H22" si="4">C16/C$22</f>
        <v>0</v>
      </c>
      <c r="I16" s="292"/>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row>
    <row r="17" spans="1:42" s="294" customFormat="1" x14ac:dyDescent="0.25">
      <c r="A17" s="292"/>
      <c r="B17" s="297" t="s">
        <v>54</v>
      </c>
      <c r="C17" s="309">
        <f>'Synthèse CO2'!AC138</f>
        <v>8850312.6817332674</v>
      </c>
      <c r="D17" s="309">
        <f>'Synthèse CO2'!AK138</f>
        <v>881031.26817332674</v>
      </c>
      <c r="E17" s="309">
        <f>'Synthèse CO2'!AS138</f>
        <v>3577993.904112637</v>
      </c>
      <c r="F17" s="309">
        <f>'Synthèse CO2'!BA138</f>
        <v>0</v>
      </c>
      <c r="G17" s="310">
        <f t="shared" si="3"/>
        <v>2.2273043574500915</v>
      </c>
      <c r="H17" s="300">
        <f t="shared" si="4"/>
        <v>0.19755175122818608</v>
      </c>
      <c r="I17" s="292"/>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1:42" s="294" customFormat="1" x14ac:dyDescent="0.25">
      <c r="A18" s="292"/>
      <c r="B18" s="297" t="s">
        <v>31</v>
      </c>
      <c r="C18" s="309">
        <f>'Synthèse CO2'!AD138</f>
        <v>16314842.909465954</v>
      </c>
      <c r="D18" s="309">
        <f>'Synthèse CO2'!AL138</f>
        <v>1037644.2909465953</v>
      </c>
      <c r="E18" s="309">
        <f>'Synthèse CO2'!AT138</f>
        <v>11881831.417347645</v>
      </c>
      <c r="F18" s="309">
        <f>'Synthèse CO2'!BB138</f>
        <v>649764.02399999998</v>
      </c>
      <c r="G18" s="310">
        <f t="shared" si="3"/>
        <v>1.2190944632726231</v>
      </c>
      <c r="H18" s="300">
        <f t="shared" si="4"/>
        <v>0.36417083821568985</v>
      </c>
      <c r="I18" s="292"/>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row>
    <row r="19" spans="1:42" s="294" customFormat="1" x14ac:dyDescent="0.25">
      <c r="A19" s="292"/>
      <c r="B19" s="311" t="s">
        <v>38</v>
      </c>
      <c r="C19" s="309">
        <f>'Synthèse CO2'!AE138</f>
        <v>1979405</v>
      </c>
      <c r="D19" s="309">
        <f>'Synthèse CO2'!AM138</f>
        <v>90000</v>
      </c>
      <c r="E19" s="309">
        <f>'Synthèse CO2'!AU138</f>
        <v>504416.69999999995</v>
      </c>
      <c r="F19" s="309">
        <f>'Synthèse CO2'!BC138</f>
        <v>290862</v>
      </c>
      <c r="G19" s="310">
        <f t="shared" si="3"/>
        <v>2.3757771960949037</v>
      </c>
      <c r="H19" s="300">
        <f t="shared" si="4"/>
        <v>4.4183176143246322E-2</v>
      </c>
      <c r="I19" s="292"/>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row>
    <row r="20" spans="1:42" s="294" customFormat="1" x14ac:dyDescent="0.25">
      <c r="A20" s="292"/>
      <c r="B20" s="295" t="s">
        <v>34</v>
      </c>
      <c r="C20" s="312">
        <f>'Synthèse CO2'!AF138</f>
        <v>1333317.6906029652</v>
      </c>
      <c r="D20" s="312">
        <f>'Synthèse CO2'!AN138</f>
        <v>70896.438703444946</v>
      </c>
      <c r="E20" s="312">
        <f>'Synthèse CO2'!AV138</f>
        <v>921267.79026604828</v>
      </c>
      <c r="F20" s="312">
        <f>'Synthèse CO2'!BD138</f>
        <v>0</v>
      </c>
      <c r="G20" s="310">
        <f t="shared" si="3"/>
        <v>1.3703086824895419</v>
      </c>
      <c r="H20" s="300">
        <f t="shared" si="4"/>
        <v>2.9761575008054042E-2</v>
      </c>
      <c r="I20" s="292"/>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row>
    <row r="21" spans="1:42" s="294" customFormat="1" x14ac:dyDescent="0.25">
      <c r="A21" s="292"/>
      <c r="B21" s="301" t="s">
        <v>37</v>
      </c>
      <c r="C21" s="309">
        <f>'Synthèse CO2'!AG138</f>
        <v>15791357.67</v>
      </c>
      <c r="D21" s="309">
        <f>'Synthèse CO2'!AO138</f>
        <v>3562420.5</v>
      </c>
      <c r="E21" s="309">
        <f>'Synthèse CO2'!AW138</f>
        <v>886363.6980924845</v>
      </c>
      <c r="F21" s="309">
        <f>'Synthèse CO2'!BE138</f>
        <v>1410241.1344002872</v>
      </c>
      <c r="G21" s="310">
        <f t="shared" si="3"/>
        <v>5.3247894443932333</v>
      </c>
      <c r="H21" s="300">
        <f t="shared" si="4"/>
        <v>0.35248589221236371</v>
      </c>
      <c r="I21" s="292"/>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row>
    <row r="22" spans="1:42" s="294" customFormat="1" x14ac:dyDescent="0.25">
      <c r="A22" s="292"/>
      <c r="B22" s="304" t="s">
        <v>247</v>
      </c>
      <c r="C22" s="313">
        <f>SUM(C15:C21)</f>
        <v>44799970.775812246</v>
      </c>
      <c r="D22" s="313">
        <f>SUM(D15:D21)</f>
        <v>5776116.4450263837</v>
      </c>
      <c r="E22" s="313">
        <f>SUM(E15:E21)</f>
        <v>17851056.57172633</v>
      </c>
      <c r="F22" s="313">
        <f>SUM(F15:F21)</f>
        <v>2368873.7184002874</v>
      </c>
      <c r="G22" s="314">
        <f t="shared" si="3"/>
        <v>1.9299697759018086</v>
      </c>
      <c r="H22" s="300">
        <f t="shared" si="4"/>
        <v>1</v>
      </c>
      <c r="I22" s="292"/>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row>
    <row r="24" spans="1:42" s="317" customFormat="1" ht="18.75" x14ac:dyDescent="0.3">
      <c r="A24" s="315" t="s">
        <v>47</v>
      </c>
      <c r="B24" s="316"/>
      <c r="C24" s="316"/>
      <c r="D24" s="981" t="s">
        <v>605</v>
      </c>
      <c r="E24" s="981"/>
      <c r="F24" s="981"/>
      <c r="G24" s="316"/>
      <c r="H24" s="316"/>
      <c r="I24" s="316"/>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row>
    <row r="25" spans="1:42" s="317" customFormat="1" x14ac:dyDescent="0.25">
      <c r="A25" s="316"/>
      <c r="B25" s="316"/>
      <c r="C25" s="316"/>
      <c r="D25" s="316"/>
      <c r="E25" s="316"/>
      <c r="F25" s="316"/>
      <c r="G25" s="316"/>
      <c r="H25" s="316"/>
      <c r="I25" s="316"/>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row>
    <row r="26" spans="1:42" s="317" customFormat="1" x14ac:dyDescent="0.25">
      <c r="A26" s="316"/>
      <c r="B26" s="318" t="s">
        <v>14</v>
      </c>
      <c r="C26" s="318" t="s">
        <v>44</v>
      </c>
      <c r="D26" s="318" t="s">
        <v>7</v>
      </c>
      <c r="E26" s="318" t="s">
        <v>45</v>
      </c>
      <c r="F26" s="318" t="s">
        <v>46</v>
      </c>
      <c r="G26" s="316"/>
      <c r="H26" s="319" t="s">
        <v>13</v>
      </c>
      <c r="I26" s="316"/>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row>
    <row r="27" spans="1:42" s="317" customFormat="1" x14ac:dyDescent="0.25">
      <c r="A27" s="316"/>
      <c r="B27" s="320" t="s">
        <v>939</v>
      </c>
      <c r="C27" s="321">
        <f>'Synthèse ECO'!AE130</f>
        <v>1622486.87</v>
      </c>
      <c r="D27" s="321">
        <f>'Synthèse ECO'!AL130</f>
        <v>403427.11899999995</v>
      </c>
      <c r="E27" s="321">
        <f t="shared" ref="E27:E32" si="5">C27-D27</f>
        <v>1219059.7510000002</v>
      </c>
      <c r="F27" s="322">
        <f t="shared" ref="F27:F32" si="6">E27/5</f>
        <v>243811.95020000002</v>
      </c>
      <c r="G27" s="316"/>
      <c r="H27" s="323">
        <f t="shared" ref="H27:H33" si="7">C27/C$33</f>
        <v>2.7118985591728824E-2</v>
      </c>
      <c r="I27" s="316"/>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row>
    <row r="28" spans="1:42" s="317" customFormat="1" x14ac:dyDescent="0.25">
      <c r="A28" s="316"/>
      <c r="B28" s="320" t="s">
        <v>35</v>
      </c>
      <c r="C28" s="321">
        <f>'Synthèse ECO'!AA130</f>
        <v>261400</v>
      </c>
      <c r="D28" s="321">
        <f>'Synthèse ECO'!AH130</f>
        <v>88500</v>
      </c>
      <c r="E28" s="321">
        <f t="shared" si="5"/>
        <v>172900</v>
      </c>
      <c r="F28" s="322">
        <f t="shared" si="6"/>
        <v>34580</v>
      </c>
      <c r="G28" s="316"/>
      <c r="H28" s="323">
        <f t="shared" si="7"/>
        <v>4.3691588294196265E-3</v>
      </c>
      <c r="I28" s="316"/>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row>
    <row r="29" spans="1:42" s="317" customFormat="1" x14ac:dyDescent="0.25">
      <c r="A29" s="316"/>
      <c r="B29" s="320" t="s">
        <v>32</v>
      </c>
      <c r="C29" s="321">
        <f>'Synthèse ECO'!AC130</f>
        <v>56916220</v>
      </c>
      <c r="D29" s="321">
        <f>'Synthèse ECO'!AJ130</f>
        <v>-229279.99999999953</v>
      </c>
      <c r="E29" s="321">
        <f t="shared" si="5"/>
        <v>57145500</v>
      </c>
      <c r="F29" s="322">
        <f t="shared" si="6"/>
        <v>11429100</v>
      </c>
      <c r="G29" s="316"/>
      <c r="H29" s="323">
        <f t="shared" si="7"/>
        <v>0.95132366163041293</v>
      </c>
      <c r="I29" s="316"/>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row>
    <row r="30" spans="1:42" s="317" customFormat="1" ht="12" customHeight="1" x14ac:dyDescent="0.25">
      <c r="A30" s="316"/>
      <c r="B30" s="324" t="s">
        <v>339</v>
      </c>
      <c r="C30" s="321">
        <f>'Synthèse ECO'!AD130</f>
        <v>330000</v>
      </c>
      <c r="D30" s="321">
        <f>'Synthèse ECO'!AK130</f>
        <v>0</v>
      </c>
      <c r="E30" s="321">
        <f t="shared" si="5"/>
        <v>330000</v>
      </c>
      <c r="F30" s="322">
        <f t="shared" si="6"/>
        <v>66000</v>
      </c>
      <c r="G30" s="316"/>
      <c r="H30" s="323">
        <f t="shared" si="7"/>
        <v>5.5157705191602015E-3</v>
      </c>
      <c r="I30" s="316"/>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row>
    <row r="31" spans="1:42" s="317" customFormat="1" x14ac:dyDescent="0.25">
      <c r="A31" s="316"/>
      <c r="B31" s="325" t="s">
        <v>54</v>
      </c>
      <c r="C31" s="321">
        <f>'Synthèse ECO'!AB130</f>
        <v>601000</v>
      </c>
      <c r="D31" s="321">
        <f>'Synthèse ECO'!AI130</f>
        <v>19400</v>
      </c>
      <c r="E31" s="321">
        <f t="shared" si="5"/>
        <v>581600</v>
      </c>
      <c r="F31" s="322">
        <f t="shared" si="6"/>
        <v>116320</v>
      </c>
      <c r="G31" s="316"/>
      <c r="H31" s="323">
        <f t="shared" si="7"/>
        <v>1.0045388127319034E-2</v>
      </c>
      <c r="I31" s="316"/>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row>
    <row r="32" spans="1:42" s="317" customFormat="1" x14ac:dyDescent="0.25">
      <c r="A32" s="316"/>
      <c r="B32" s="325" t="s">
        <v>38</v>
      </c>
      <c r="C32" s="326">
        <f>'Synthèse ECO'!AF130</f>
        <v>97343.000000000015</v>
      </c>
      <c r="D32" s="321">
        <f>'Synthèse ECO'!AM130</f>
        <v>49993.000000000015</v>
      </c>
      <c r="E32" s="321">
        <f t="shared" si="5"/>
        <v>47350</v>
      </c>
      <c r="F32" s="322">
        <f t="shared" si="6"/>
        <v>9470</v>
      </c>
      <c r="G32" s="316"/>
      <c r="H32" s="323">
        <f t="shared" si="7"/>
        <v>1.6270353019594292E-3</v>
      </c>
      <c r="I32" s="316"/>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row>
    <row r="33" spans="1:42" s="317" customFormat="1" x14ac:dyDescent="0.25">
      <c r="A33" s="316"/>
      <c r="B33" s="327" t="s">
        <v>247</v>
      </c>
      <c r="C33" s="328">
        <f>SUM(C27:C32)</f>
        <v>59828449.869999997</v>
      </c>
      <c r="D33" s="329">
        <f>SUM(D27:D32)</f>
        <v>332040.11900000041</v>
      </c>
      <c r="E33" s="329">
        <f>SUM(E27:E32)</f>
        <v>59496409.751000002</v>
      </c>
      <c r="F33" s="329">
        <f>SUM(F27:F32)</f>
        <v>11899281.950200001</v>
      </c>
      <c r="G33" s="316"/>
      <c r="H33" s="323">
        <f t="shared" si="7"/>
        <v>1</v>
      </c>
      <c r="I33" s="316"/>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row>
    <row r="34" spans="1:42" s="317" customFormat="1" x14ac:dyDescent="0.25">
      <c r="A34" s="316"/>
      <c r="B34" s="316"/>
      <c r="C34" s="316"/>
      <c r="D34" s="316"/>
      <c r="E34" s="316"/>
      <c r="F34" s="316"/>
      <c r="G34" s="316"/>
      <c r="H34" s="316"/>
      <c r="I34" s="316"/>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row>
    <row r="35" spans="1:42" s="317" customFormat="1" ht="18.75" x14ac:dyDescent="0.3">
      <c r="A35" s="315" t="s">
        <v>48</v>
      </c>
      <c r="B35" s="330"/>
      <c r="C35" s="316"/>
      <c r="D35" s="316"/>
      <c r="E35" s="316"/>
      <c r="F35" s="316"/>
      <c r="G35" s="316"/>
      <c r="H35" s="316"/>
      <c r="I35" s="316"/>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row>
    <row r="36" spans="1:42" s="317" customFormat="1" x14ac:dyDescent="0.25">
      <c r="A36" s="316"/>
      <c r="B36" s="316"/>
      <c r="C36" s="316"/>
      <c r="D36" s="316"/>
      <c r="E36" s="316"/>
      <c r="F36" s="316"/>
      <c r="G36" s="316"/>
      <c r="H36" s="316"/>
      <c r="I36" s="316"/>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row>
    <row r="37" spans="1:42" s="317" customFormat="1" x14ac:dyDescent="0.25">
      <c r="A37" s="316"/>
      <c r="B37" s="320" t="s">
        <v>292</v>
      </c>
      <c r="C37" s="318" t="s">
        <v>43</v>
      </c>
      <c r="D37" s="318" t="s">
        <v>7</v>
      </c>
      <c r="E37" s="318" t="s">
        <v>8</v>
      </c>
      <c r="F37" s="318" t="s">
        <v>26</v>
      </c>
      <c r="G37" s="331" t="s">
        <v>27</v>
      </c>
      <c r="H37" s="319" t="s">
        <v>13</v>
      </c>
      <c r="I37" s="316"/>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row>
    <row r="38" spans="1:42" s="317" customFormat="1" x14ac:dyDescent="0.25">
      <c r="A38" s="316"/>
      <c r="B38" s="320" t="s">
        <v>39</v>
      </c>
      <c r="C38" s="321">
        <f>'Synthèse ECO'!AO130</f>
        <v>209410</v>
      </c>
      <c r="D38" s="321">
        <f>'Synthèse ECO'!AW130</f>
        <v>0</v>
      </c>
      <c r="E38" s="321">
        <f>'Synthèse ECO'!BE130</f>
        <v>39072.885999999991</v>
      </c>
      <c r="F38" s="321">
        <f>'Synthèse ECO'!BM130</f>
        <v>0</v>
      </c>
      <c r="G38" s="332">
        <f t="shared" ref="G38:G45" si="8">(C38-D38)/(E38+F38)</f>
        <v>5.359471015271307</v>
      </c>
      <c r="H38" s="333">
        <f>C38/C$45</f>
        <v>3.5001742558101148E-3</v>
      </c>
      <c r="I38" s="316"/>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row>
    <row r="39" spans="1:42" s="317" customFormat="1" x14ac:dyDescent="0.25">
      <c r="A39" s="316"/>
      <c r="B39" s="320" t="s">
        <v>36</v>
      </c>
      <c r="C39" s="321">
        <f>'Synthèse ECO'!AP130</f>
        <v>360400</v>
      </c>
      <c r="D39" s="321">
        <f>'Synthèse ECO'!AX130</f>
        <v>107900</v>
      </c>
      <c r="E39" s="321">
        <f>'Synthèse ECO'!BF130</f>
        <v>31640.276271985571</v>
      </c>
      <c r="F39" s="321">
        <f>'Synthèse ECO'!BN130</f>
        <v>13478.010000000002</v>
      </c>
      <c r="G39" s="332">
        <f t="shared" si="8"/>
        <v>5.5964005032872874</v>
      </c>
      <c r="H39" s="333">
        <f t="shared" ref="H39:H45" si="9">C39/C$45</f>
        <v>6.0238899851676872E-3</v>
      </c>
      <c r="I39" s="316"/>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row>
    <row r="40" spans="1:42" s="317" customFormat="1" x14ac:dyDescent="0.25">
      <c r="A40" s="316"/>
      <c r="B40" s="320" t="s">
        <v>54</v>
      </c>
      <c r="C40" s="321">
        <f>'Synthèse ECO'!AQ130</f>
        <v>506000</v>
      </c>
      <c r="D40" s="321">
        <f>'Synthèse ECO'!AY130</f>
        <v>0</v>
      </c>
      <c r="E40" s="321">
        <f>'Synthèse ECO'!BG130</f>
        <v>432611.29652933386</v>
      </c>
      <c r="F40" s="321">
        <f>'Synthèse ECO'!BO130</f>
        <v>28080</v>
      </c>
      <c r="G40" s="332">
        <f t="shared" si="8"/>
        <v>1.0983493801858295</v>
      </c>
      <c r="H40" s="333">
        <f t="shared" si="9"/>
        <v>8.4575147960456436E-3</v>
      </c>
      <c r="I40" s="316"/>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row>
    <row r="41" spans="1:42" s="317" customFormat="1" x14ac:dyDescent="0.25">
      <c r="A41" s="316"/>
      <c r="B41" s="320" t="s">
        <v>31</v>
      </c>
      <c r="C41" s="321">
        <f>'Synthèse ECO'!AR130</f>
        <v>18599720</v>
      </c>
      <c r="D41" s="321">
        <f>'Synthèse ECO'!AZ130</f>
        <v>-229279.99999999953</v>
      </c>
      <c r="E41" s="321">
        <f>'Synthèse ECO'!BH130</f>
        <v>1967714.2508772055</v>
      </c>
      <c r="F41" s="321">
        <f>'Synthèse ECO'!BP130</f>
        <v>0</v>
      </c>
      <c r="G41" s="332">
        <f t="shared" si="8"/>
        <v>9.5689706935882821</v>
      </c>
      <c r="H41" s="333">
        <f t="shared" si="9"/>
        <v>0.31088420375949816</v>
      </c>
      <c r="I41" s="316"/>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row>
    <row r="42" spans="1:42" s="317" customFormat="1" x14ac:dyDescent="0.25">
      <c r="A42" s="316"/>
      <c r="B42" s="334" t="s">
        <v>38</v>
      </c>
      <c r="C42" s="321">
        <f>'Synthèse ECO'!AS130</f>
        <v>97343.000000000015</v>
      </c>
      <c r="D42" s="321">
        <f>'Synthèse ECO'!BA130</f>
        <v>49993.000000000015</v>
      </c>
      <c r="E42" s="321">
        <f>'Synthèse ECO'!BI130</f>
        <v>154457.41576785903</v>
      </c>
      <c r="F42" s="321">
        <f>'Synthèse ECO'!BQ130</f>
        <v>0</v>
      </c>
      <c r="G42" s="332">
        <f t="shared" si="8"/>
        <v>0.3065569870155308</v>
      </c>
      <c r="H42" s="333">
        <f t="shared" si="9"/>
        <v>1.6270353019594292E-3</v>
      </c>
      <c r="I42" s="316"/>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row>
    <row r="43" spans="1:42" s="317" customFormat="1" x14ac:dyDescent="0.25">
      <c r="A43" s="316"/>
      <c r="B43" s="318" t="s">
        <v>34</v>
      </c>
      <c r="C43" s="335">
        <f>'Synthèse ECO'!AT130</f>
        <v>39287500</v>
      </c>
      <c r="D43" s="335">
        <f>'Synthèse ECO'!BB130</f>
        <v>50000</v>
      </c>
      <c r="E43" s="335">
        <f>'Synthèse ECO'!BJ130</f>
        <v>2141774.3522074134</v>
      </c>
      <c r="F43" s="335">
        <f>'Synthèse ECO'!BR130</f>
        <v>0</v>
      </c>
      <c r="G43" s="332">
        <f t="shared" si="8"/>
        <v>18.320090517266671</v>
      </c>
      <c r="H43" s="333">
        <f t="shared" si="9"/>
        <v>0.6566691947621407</v>
      </c>
      <c r="I43" s="316"/>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row>
    <row r="44" spans="1:42" s="317" customFormat="1" x14ac:dyDescent="0.25">
      <c r="A44" s="316"/>
      <c r="B44" s="324" t="s">
        <v>37</v>
      </c>
      <c r="C44" s="321">
        <f>'Synthèse ECO'!AU130</f>
        <v>768076.87</v>
      </c>
      <c r="D44" s="321">
        <f>'Synthèse ECO'!BC130</f>
        <v>353427.11899999995</v>
      </c>
      <c r="E44" s="321">
        <f>'Synthèse ECO'!BK130</f>
        <v>54390.673473522125</v>
      </c>
      <c r="F44" s="321">
        <f>'Synthèse ECO'!BS130</f>
        <v>0</v>
      </c>
      <c r="G44" s="332">
        <f t="shared" si="8"/>
        <v>7.6235450771142839</v>
      </c>
      <c r="H44" s="333">
        <f t="shared" si="9"/>
        <v>1.2837987139378311E-2</v>
      </c>
      <c r="I44" s="316"/>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row>
    <row r="45" spans="1:42" s="317" customFormat="1" x14ac:dyDescent="0.25">
      <c r="A45" s="316"/>
      <c r="B45" s="327" t="s">
        <v>247</v>
      </c>
      <c r="C45" s="336">
        <f>SUM(C38:C44)</f>
        <v>59828449.869999997</v>
      </c>
      <c r="D45" s="336">
        <f>SUM(D38:D44)</f>
        <v>332040.11900000041</v>
      </c>
      <c r="E45" s="336">
        <f>SUM(E38:E44)</f>
        <v>4821661.1511273198</v>
      </c>
      <c r="F45" s="336">
        <f>SUM(F38:F44)</f>
        <v>41558.01</v>
      </c>
      <c r="G45" s="337">
        <f t="shared" si="8"/>
        <v>12.233956105981541</v>
      </c>
      <c r="H45" s="333">
        <f t="shared" si="9"/>
        <v>1</v>
      </c>
      <c r="I45" s="316"/>
      <c r="J45" s="293"/>
      <c r="K45" s="293"/>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row>
    <row r="46" spans="1:42" x14ac:dyDescent="0.25">
      <c r="D46" s="524"/>
    </row>
    <row r="47" spans="1:42" s="340" customFormat="1" ht="18.75" x14ac:dyDescent="0.3">
      <c r="A47" s="338" t="s">
        <v>47</v>
      </c>
      <c r="B47" s="339"/>
      <c r="C47" s="339"/>
      <c r="D47" s="982" t="s">
        <v>606</v>
      </c>
      <c r="E47" s="982"/>
      <c r="F47" s="982"/>
      <c r="G47" s="339"/>
      <c r="H47" s="339"/>
      <c r="I47" s="339"/>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row>
    <row r="48" spans="1:42" s="340" customFormat="1" x14ac:dyDescent="0.25">
      <c r="A48" s="339"/>
      <c r="B48" s="339"/>
      <c r="C48" s="339"/>
      <c r="D48" s="339"/>
      <c r="E48" s="339"/>
      <c r="F48" s="339"/>
      <c r="G48" s="339"/>
      <c r="H48" s="339"/>
      <c r="I48" s="339"/>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row>
    <row r="49" spans="1:42" s="340" customFormat="1" x14ac:dyDescent="0.25">
      <c r="A49" s="339"/>
      <c r="B49" s="341" t="s">
        <v>14</v>
      </c>
      <c r="C49" s="341" t="s">
        <v>44</v>
      </c>
      <c r="D49" s="341" t="s">
        <v>7</v>
      </c>
      <c r="E49" s="341" t="s">
        <v>45</v>
      </c>
      <c r="F49" s="341" t="s">
        <v>46</v>
      </c>
      <c r="G49" s="339"/>
      <c r="H49" s="342" t="s">
        <v>13</v>
      </c>
      <c r="I49" s="339"/>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row>
    <row r="50" spans="1:42" s="340" customFormat="1" x14ac:dyDescent="0.25">
      <c r="A50" s="339"/>
      <c r="B50" s="343" t="str">
        <f t="shared" ref="B50:B55" si="10">B4</f>
        <v>AC MESSANCY</v>
      </c>
      <c r="C50" s="344">
        <f>C27+C4</f>
        <v>17944579.364010058</v>
      </c>
      <c r="D50" s="344">
        <f>D27+D4</f>
        <v>4099971.5662030168</v>
      </c>
      <c r="E50" s="344">
        <f t="shared" ref="E50:E55" si="11">C50-D50</f>
        <v>13844607.797807042</v>
      </c>
      <c r="F50" s="345">
        <f t="shared" ref="F50:F55" si="12">E50/5</f>
        <v>2768921.5595614081</v>
      </c>
      <c r="G50" s="339"/>
      <c r="H50" s="346">
        <f>C50/C$56</f>
        <v>0.17150769602798444</v>
      </c>
      <c r="I50" s="339"/>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row>
    <row r="51" spans="1:42" s="340" customFormat="1" x14ac:dyDescent="0.25">
      <c r="A51" s="339"/>
      <c r="B51" s="343" t="str">
        <f t="shared" si="10"/>
        <v>Agriculteurs</v>
      </c>
      <c r="C51" s="344">
        <f t="shared" ref="C51:D55" si="13">C28+C5</f>
        <v>261400</v>
      </c>
      <c r="D51" s="344">
        <f t="shared" si="13"/>
        <v>88500</v>
      </c>
      <c r="E51" s="344">
        <f t="shared" si="11"/>
        <v>172900</v>
      </c>
      <c r="F51" s="345">
        <f t="shared" si="12"/>
        <v>34580</v>
      </c>
      <c r="G51" s="339"/>
      <c r="H51" s="346">
        <f t="shared" ref="H51:H56" si="14">C51/C$56</f>
        <v>2.4983651515193021E-3</v>
      </c>
      <c r="I51" s="339"/>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row>
    <row r="52" spans="1:42" s="340" customFormat="1" x14ac:dyDescent="0.25">
      <c r="A52" s="339"/>
      <c r="B52" s="343" t="str">
        <f t="shared" si="10"/>
        <v>Citoyens</v>
      </c>
      <c r="C52" s="344">
        <f t="shared" si="13"/>
        <v>74564380.600068927</v>
      </c>
      <c r="D52" s="344">
        <f t="shared" si="13"/>
        <v>879260.72965004062</v>
      </c>
      <c r="E52" s="344">
        <f t="shared" si="11"/>
        <v>73685119.870418891</v>
      </c>
      <c r="F52" s="345">
        <f t="shared" si="12"/>
        <v>14737023.974083778</v>
      </c>
      <c r="G52" s="339"/>
      <c r="H52" s="346">
        <f t="shared" si="14"/>
        <v>0.71265895193509599</v>
      </c>
      <c r="I52" s="339"/>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row>
    <row r="53" spans="1:42" s="340" customFormat="1" x14ac:dyDescent="0.25">
      <c r="A53" s="339"/>
      <c r="B53" s="343" t="str">
        <f t="shared" si="10"/>
        <v>IDELUX</v>
      </c>
      <c r="C53" s="344">
        <f t="shared" si="13"/>
        <v>330000</v>
      </c>
      <c r="D53" s="344">
        <f t="shared" si="13"/>
        <v>0</v>
      </c>
      <c r="E53" s="344">
        <f t="shared" si="11"/>
        <v>330000</v>
      </c>
      <c r="F53" s="345">
        <f t="shared" si="12"/>
        <v>66000</v>
      </c>
      <c r="G53" s="339"/>
      <c r="H53" s="346">
        <f t="shared" si="14"/>
        <v>3.154018745223296E-3</v>
      </c>
      <c r="I53" s="339"/>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row>
    <row r="54" spans="1:42" s="340" customFormat="1" x14ac:dyDescent="0.25">
      <c r="A54" s="339"/>
      <c r="B54" s="343" t="str">
        <f t="shared" si="10"/>
        <v>Industrie</v>
      </c>
      <c r="C54" s="344">
        <f t="shared" si="13"/>
        <v>9451312.6817332674</v>
      </c>
      <c r="D54" s="344">
        <f t="shared" si="13"/>
        <v>900431.26817332674</v>
      </c>
      <c r="E54" s="344">
        <f t="shared" si="11"/>
        <v>8550881.4135599397</v>
      </c>
      <c r="F54" s="345">
        <f t="shared" si="12"/>
        <v>1710176.2827119878</v>
      </c>
      <c r="G54" s="339"/>
      <c r="H54" s="346">
        <f t="shared" si="14"/>
        <v>9.0332173833798143E-2</v>
      </c>
      <c r="I54" s="339"/>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row>
    <row r="55" spans="1:42" s="340" customFormat="1" x14ac:dyDescent="0.25">
      <c r="A55" s="339"/>
      <c r="B55" s="343" t="str">
        <f t="shared" si="10"/>
        <v>Tertiaire</v>
      </c>
      <c r="C55" s="344">
        <f t="shared" si="13"/>
        <v>2076748</v>
      </c>
      <c r="D55" s="344">
        <f t="shared" si="13"/>
        <v>139993</v>
      </c>
      <c r="E55" s="344">
        <f t="shared" si="11"/>
        <v>1936755</v>
      </c>
      <c r="F55" s="345">
        <f t="shared" si="12"/>
        <v>387351</v>
      </c>
      <c r="G55" s="339"/>
      <c r="H55" s="346">
        <f t="shared" si="14"/>
        <v>1.9848794306378759E-2</v>
      </c>
      <c r="I55" s="339"/>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row>
    <row r="56" spans="1:42" s="340" customFormat="1" x14ac:dyDescent="0.25">
      <c r="A56" s="339"/>
      <c r="B56" s="347" t="s">
        <v>247</v>
      </c>
      <c r="C56" s="348">
        <f>SUM(C50:C55)</f>
        <v>104628420.64581226</v>
      </c>
      <c r="D56" s="349">
        <f>SUM(D50:D55)</f>
        <v>6108156.5640263846</v>
      </c>
      <c r="E56" s="349">
        <f>SUM(E50:E55)</f>
        <v>98520264.081785873</v>
      </c>
      <c r="F56" s="349">
        <f>SUM(F50:F55)</f>
        <v>19704052.816357173</v>
      </c>
      <c r="G56" s="339"/>
      <c r="H56" s="346">
        <f t="shared" si="14"/>
        <v>1</v>
      </c>
      <c r="I56" s="339"/>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row>
    <row r="57" spans="1:42" s="340" customFormat="1" x14ac:dyDescent="0.25">
      <c r="A57" s="339"/>
      <c r="B57" s="339"/>
      <c r="C57" s="339"/>
      <c r="D57" s="339"/>
      <c r="E57" s="339"/>
      <c r="F57" s="339"/>
      <c r="G57" s="339"/>
      <c r="H57" s="339"/>
      <c r="I57" s="339"/>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row>
    <row r="58" spans="1:42" s="340" customFormat="1" ht="18.75" x14ac:dyDescent="0.3">
      <c r="A58" s="338" t="s">
        <v>48</v>
      </c>
      <c r="B58" s="350"/>
      <c r="C58" s="339"/>
      <c r="D58" s="339"/>
      <c r="E58" s="339"/>
      <c r="F58" s="339"/>
      <c r="G58" s="339"/>
      <c r="H58" s="339"/>
      <c r="I58" s="339"/>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row>
    <row r="59" spans="1:42" s="340" customFormat="1" x14ac:dyDescent="0.25">
      <c r="A59" s="339"/>
      <c r="B59" s="339"/>
      <c r="C59" s="339"/>
      <c r="D59" s="339"/>
      <c r="E59" s="339"/>
      <c r="F59" s="339"/>
      <c r="G59" s="339"/>
      <c r="H59" s="339"/>
      <c r="I59" s="339"/>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row>
    <row r="60" spans="1:42" s="340" customFormat="1" x14ac:dyDescent="0.25">
      <c r="A60" s="339"/>
      <c r="B60" s="343" t="s">
        <v>292</v>
      </c>
      <c r="C60" s="341" t="s">
        <v>43</v>
      </c>
      <c r="D60" s="341" t="s">
        <v>7</v>
      </c>
      <c r="E60" s="341" t="s">
        <v>8</v>
      </c>
      <c r="F60" s="341" t="s">
        <v>26</v>
      </c>
      <c r="G60" s="351" t="s">
        <v>27</v>
      </c>
      <c r="H60" s="342" t="s">
        <v>13</v>
      </c>
      <c r="I60" s="339"/>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row>
    <row r="61" spans="1:42" s="340" customFormat="1" x14ac:dyDescent="0.25">
      <c r="A61" s="339"/>
      <c r="B61" s="343" t="str">
        <f>B38</f>
        <v>Territorial</v>
      </c>
      <c r="C61" s="352">
        <f>C38+C15</f>
        <v>740144.82401005668</v>
      </c>
      <c r="D61" s="352">
        <f>D38+D15</f>
        <v>134123.94720301699</v>
      </c>
      <c r="E61" s="352">
        <f>E38+E15</f>
        <v>118255.94790751548</v>
      </c>
      <c r="F61" s="352">
        <f>F38+F15</f>
        <v>18006.560000000001</v>
      </c>
      <c r="G61" s="353">
        <f t="shared" ref="G61:G68" si="15">(C61-D61)/(E61+F61)</f>
        <v>4.4474513651132863</v>
      </c>
      <c r="H61" s="346">
        <f>C61/C$68</f>
        <v>7.0740322700233839E-3</v>
      </c>
      <c r="I61" s="339"/>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row>
    <row r="62" spans="1:42" s="340" customFormat="1" x14ac:dyDescent="0.25">
      <c r="A62" s="339"/>
      <c r="B62" s="343" t="str">
        <f t="shared" ref="B62:B67" si="16">B39</f>
        <v>Agriculture</v>
      </c>
      <c r="C62" s="352">
        <f t="shared" ref="C62:F67" si="17">C39+C16</f>
        <v>360400</v>
      </c>
      <c r="D62" s="352">
        <f t="shared" si="17"/>
        <v>107900</v>
      </c>
      <c r="E62" s="352">
        <f t="shared" si="17"/>
        <v>31640.276271985571</v>
      </c>
      <c r="F62" s="352">
        <f t="shared" si="17"/>
        <v>13478.010000000002</v>
      </c>
      <c r="G62" s="353">
        <f t="shared" si="15"/>
        <v>5.5964005032872874</v>
      </c>
      <c r="H62" s="346">
        <f t="shared" ref="H62:H68" si="18">C62/C$68</f>
        <v>3.4445707750862913E-3</v>
      </c>
      <c r="I62" s="339"/>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row>
    <row r="63" spans="1:42" s="340" customFormat="1" x14ac:dyDescent="0.25">
      <c r="A63" s="339"/>
      <c r="B63" s="343" t="str">
        <f t="shared" si="16"/>
        <v>Industrie</v>
      </c>
      <c r="C63" s="352">
        <f t="shared" si="17"/>
        <v>9356312.6817332674</v>
      </c>
      <c r="D63" s="352">
        <f t="shared" si="17"/>
        <v>881031.26817332674</v>
      </c>
      <c r="E63" s="352">
        <f t="shared" si="17"/>
        <v>4010605.2006419711</v>
      </c>
      <c r="F63" s="352">
        <f t="shared" si="17"/>
        <v>28080</v>
      </c>
      <c r="G63" s="353">
        <f t="shared" si="15"/>
        <v>2.098524889291383</v>
      </c>
      <c r="H63" s="346">
        <f t="shared" si="18"/>
        <v>8.9424198740476302E-2</v>
      </c>
      <c r="I63" s="339"/>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row>
    <row r="64" spans="1:42" s="340" customFormat="1" x14ac:dyDescent="0.25">
      <c r="A64" s="339"/>
      <c r="B64" s="343" t="str">
        <f t="shared" si="16"/>
        <v>Logement</v>
      </c>
      <c r="C64" s="352">
        <f t="shared" si="17"/>
        <v>34914562.909465954</v>
      </c>
      <c r="D64" s="352">
        <f t="shared" si="17"/>
        <v>808364.29094659572</v>
      </c>
      <c r="E64" s="352">
        <f t="shared" si="17"/>
        <v>13849545.668224851</v>
      </c>
      <c r="F64" s="352">
        <f t="shared" si="17"/>
        <v>649764.02399999998</v>
      </c>
      <c r="G64" s="353">
        <f t="shared" si="15"/>
        <v>2.3522636140952669</v>
      </c>
      <c r="H64" s="346">
        <f t="shared" si="18"/>
        <v>0.33370056332646564</v>
      </c>
      <c r="I64" s="339"/>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row>
    <row r="65" spans="1:42" s="340" customFormat="1" x14ac:dyDescent="0.25">
      <c r="A65" s="339"/>
      <c r="B65" s="343" t="str">
        <f t="shared" si="16"/>
        <v>Tertiaire</v>
      </c>
      <c r="C65" s="352">
        <f t="shared" si="17"/>
        <v>2076748</v>
      </c>
      <c r="D65" s="352">
        <f>D42+D19</f>
        <v>139993</v>
      </c>
      <c r="E65" s="352">
        <f t="shared" si="17"/>
        <v>658874.11576785892</v>
      </c>
      <c r="F65" s="352">
        <f t="shared" si="17"/>
        <v>290862</v>
      </c>
      <c r="G65" s="353">
        <f t="shared" si="15"/>
        <v>2.039255923666901</v>
      </c>
      <c r="H65" s="346">
        <f t="shared" si="18"/>
        <v>1.9848794306378762E-2</v>
      </c>
      <c r="I65" s="339"/>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row>
    <row r="66" spans="1:42" s="340" customFormat="1" x14ac:dyDescent="0.25">
      <c r="A66" s="339"/>
      <c r="B66" s="343" t="str">
        <f t="shared" si="16"/>
        <v>Transport</v>
      </c>
      <c r="C66" s="352">
        <f t="shared" si="17"/>
        <v>40620817.690602966</v>
      </c>
      <c r="D66" s="352">
        <f t="shared" si="17"/>
        <v>120896.43870344495</v>
      </c>
      <c r="E66" s="352">
        <f t="shared" si="17"/>
        <v>3063042.1424734616</v>
      </c>
      <c r="F66" s="352">
        <f t="shared" si="17"/>
        <v>0</v>
      </c>
      <c r="G66" s="353">
        <f t="shared" si="15"/>
        <v>13.222123421127698</v>
      </c>
      <c r="H66" s="346">
        <f t="shared" si="18"/>
        <v>0.38823884982563595</v>
      </c>
      <c r="I66" s="339"/>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row>
    <row r="67" spans="1:42" s="340" customFormat="1" x14ac:dyDescent="0.25">
      <c r="A67" s="339"/>
      <c r="B67" s="343" t="str">
        <f t="shared" si="16"/>
        <v>Communal</v>
      </c>
      <c r="C67" s="352">
        <f t="shared" si="17"/>
        <v>16559434.539999999</v>
      </c>
      <c r="D67" s="352">
        <f t="shared" si="17"/>
        <v>3915847.6189999999</v>
      </c>
      <c r="E67" s="352">
        <f t="shared" si="17"/>
        <v>940754.37156600668</v>
      </c>
      <c r="F67" s="352">
        <f t="shared" si="17"/>
        <v>1410241.1344002872</v>
      </c>
      <c r="G67" s="353">
        <f t="shared" si="15"/>
        <v>5.3779715396790184</v>
      </c>
      <c r="H67" s="346">
        <f t="shared" si="18"/>
        <v>0.15826899075593368</v>
      </c>
      <c r="I67" s="339"/>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row>
    <row r="68" spans="1:42" s="340" customFormat="1" x14ac:dyDescent="0.25">
      <c r="A68" s="339"/>
      <c r="B68" s="347" t="s">
        <v>247</v>
      </c>
      <c r="C68" s="354">
        <f>SUM(C61:C67)</f>
        <v>104628420.64581224</v>
      </c>
      <c r="D68" s="354">
        <f>SUM(D61:D67)</f>
        <v>6108156.5640263837</v>
      </c>
      <c r="E68" s="354">
        <f>SUM(E61:E67)</f>
        <v>22672717.722853649</v>
      </c>
      <c r="F68" s="354">
        <f>SUM(F61:F67)</f>
        <v>2410431.7284002872</v>
      </c>
      <c r="G68" s="355">
        <f t="shared" si="15"/>
        <v>3.9277469630856388</v>
      </c>
      <c r="H68" s="346">
        <f t="shared" si="18"/>
        <v>1</v>
      </c>
      <c r="I68" s="339"/>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row>
  </sheetData>
  <mergeCells count="3">
    <mergeCell ref="D1:F1"/>
    <mergeCell ref="D24:F24"/>
    <mergeCell ref="D47:F47"/>
  </mergeCells>
  <conditionalFormatting sqref="L11:L24 L2:L9 K2:K24">
    <cfRule type="containsText" dxfId="386" priority="4" operator="containsText" text="Terminé">
      <formula>NOT(ISERROR(SEARCH("Terminé",K2)))</formula>
    </cfRule>
    <cfRule type="containsText" dxfId="385" priority="5" operator="containsText" text="En cours">
      <formula>NOT(ISERROR(SEARCH("En cours",K2)))</formula>
    </cfRule>
    <cfRule type="containsText" dxfId="384" priority="6" operator="containsText" text="A faire">
      <formula>NOT(ISERROR(SEARCH("A faire",K2)))</formula>
    </cfRule>
  </conditionalFormatting>
  <conditionalFormatting sqref="L10">
    <cfRule type="containsText" dxfId="383" priority="1" operator="containsText" text="Terminé">
      <formula>NOT(ISERROR(SEARCH("Terminé",L10)))</formula>
    </cfRule>
    <cfRule type="containsText" dxfId="382" priority="2" operator="containsText" text="En cours">
      <formula>NOT(ISERROR(SEARCH("En cours",L10)))</formula>
    </cfRule>
    <cfRule type="containsText" dxfId="381" priority="3" operator="containsText" text="A faire">
      <formula>NOT(ISERROR(SEARCH("A faire",L10)))</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9" zoomScaleNormal="100" workbookViewId="0">
      <selection sqref="A1:E1"/>
    </sheetView>
  </sheetViews>
  <sheetFormatPr baseColWidth="10" defaultRowHeight="15" x14ac:dyDescent="0.25"/>
  <cols>
    <col min="1" max="1" width="40.7109375" customWidth="1"/>
    <col min="2" max="2" width="16.7109375" customWidth="1"/>
    <col min="3" max="3" width="18.7109375" customWidth="1"/>
    <col min="4" max="4" width="5.7109375" customWidth="1"/>
    <col min="5" max="5" width="18.7109375" customWidth="1"/>
    <col min="6" max="6" width="1.5703125" customWidth="1"/>
  </cols>
  <sheetData>
    <row r="1" spans="1:28" ht="26.25" x14ac:dyDescent="0.4">
      <c r="A1" s="1001" t="s">
        <v>937</v>
      </c>
      <c r="B1" s="1001"/>
      <c r="C1" s="1001"/>
      <c r="D1" s="1001"/>
      <c r="E1" s="1001"/>
      <c r="F1" s="276"/>
      <c r="G1" s="7"/>
      <c r="H1" s="7"/>
    </row>
    <row r="2" spans="1:28" ht="19.5" customHeight="1" x14ac:dyDescent="0.25">
      <c r="A2" s="415" t="s">
        <v>750</v>
      </c>
      <c r="B2" s="1068" t="s">
        <v>809</v>
      </c>
      <c r="C2" s="1068"/>
      <c r="D2" s="1068"/>
      <c r="E2" s="1068"/>
      <c r="F2" s="7"/>
      <c r="G2" s="986" t="s">
        <v>751</v>
      </c>
      <c r="H2" s="986"/>
    </row>
    <row r="3" spans="1:28" ht="19.5" customHeight="1" x14ac:dyDescent="0.25">
      <c r="A3" s="409" t="s">
        <v>743</v>
      </c>
      <c r="B3" s="987" t="s">
        <v>746</v>
      </c>
      <c r="C3" s="987"/>
      <c r="D3" s="987"/>
      <c r="E3" s="987"/>
      <c r="F3" s="7"/>
      <c r="G3" s="986" t="s">
        <v>752</v>
      </c>
      <c r="H3" s="986"/>
      <c r="I3" s="6"/>
      <c r="J3" s="6"/>
    </row>
    <row r="4" spans="1:28" ht="19.5" customHeight="1" x14ac:dyDescent="0.25">
      <c r="A4" s="403" t="s">
        <v>292</v>
      </c>
      <c r="B4" s="996" t="s">
        <v>34</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412</v>
      </c>
      <c r="C6" s="993"/>
      <c r="D6" s="993"/>
      <c r="E6" s="993"/>
      <c r="F6" s="7"/>
      <c r="G6" s="986" t="s">
        <v>755</v>
      </c>
      <c r="H6" s="986"/>
      <c r="I6" s="6"/>
      <c r="J6" s="6"/>
      <c r="Z6" s="1026"/>
      <c r="AA6" s="1027"/>
      <c r="AB6" s="357" t="s">
        <v>610</v>
      </c>
    </row>
    <row r="7" spans="1:28" s="6" customFormat="1"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32</v>
      </c>
      <c r="C8" s="967"/>
      <c r="D8" s="967"/>
      <c r="E8" s="967"/>
      <c r="F8" s="6"/>
      <c r="G8" s="997" t="s">
        <v>936</v>
      </c>
      <c r="H8" s="6"/>
      <c r="I8" s="6"/>
      <c r="J8" s="6"/>
      <c r="K8" s="6"/>
      <c r="L8" s="6"/>
      <c r="M8" s="6"/>
      <c r="N8" s="6"/>
      <c r="O8" s="6"/>
      <c r="Z8" s="1028" t="s">
        <v>611</v>
      </c>
      <c r="AA8" s="1029"/>
      <c r="AB8" s="357">
        <v>0.26819999999999999</v>
      </c>
    </row>
    <row r="9" spans="1:28" ht="24" customHeight="1" x14ac:dyDescent="0.25">
      <c r="A9" s="98" t="s">
        <v>0</v>
      </c>
      <c r="B9" s="967" t="s">
        <v>1119</v>
      </c>
      <c r="C9" s="967"/>
      <c r="D9" s="967"/>
      <c r="E9" s="967"/>
      <c r="F9" s="6"/>
      <c r="G9" s="997"/>
      <c r="H9" s="6"/>
      <c r="I9" s="6"/>
      <c r="J9" s="6"/>
      <c r="K9" s="6"/>
      <c r="L9" s="6"/>
      <c r="M9" s="6"/>
      <c r="N9" s="6"/>
      <c r="O9" s="6"/>
      <c r="Z9" s="1028" t="s">
        <v>612</v>
      </c>
      <c r="AA9" s="1029"/>
      <c r="AB9" s="357">
        <v>3.1300000000000001E-2</v>
      </c>
    </row>
    <row r="10" spans="1:28" ht="39.75" customHeight="1" x14ac:dyDescent="0.25">
      <c r="A10" s="98" t="s">
        <v>2</v>
      </c>
      <c r="B10" s="1034" t="s">
        <v>1120</v>
      </c>
      <c r="C10" s="1035"/>
      <c r="D10" s="1035"/>
      <c r="E10" s="1035"/>
      <c r="F10" s="6"/>
      <c r="G10" s="997"/>
      <c r="H10" s="6"/>
      <c r="I10" s="6"/>
      <c r="J10" s="6"/>
      <c r="K10" s="6"/>
      <c r="L10" s="6"/>
      <c r="M10" s="7"/>
      <c r="N10" s="6"/>
      <c r="O10" s="6"/>
      <c r="Z10" s="1028"/>
      <c r="AA10" s="1029"/>
      <c r="AB10" s="357"/>
    </row>
    <row r="11" spans="1:28" ht="15.75" x14ac:dyDescent="0.25">
      <c r="A11" s="98" t="s">
        <v>29</v>
      </c>
      <c r="B11" s="1035"/>
      <c r="C11" s="1035"/>
      <c r="D11" s="1035"/>
      <c r="E11" s="1035"/>
      <c r="F11" s="6"/>
      <c r="G11" s="254">
        <v>640</v>
      </c>
      <c r="H11" s="131" t="s">
        <v>570</v>
      </c>
      <c r="I11" s="6"/>
      <c r="J11" s="6"/>
      <c r="K11" s="6"/>
      <c r="L11" s="6"/>
      <c r="M11" s="6"/>
      <c r="N11" s="6"/>
      <c r="O11" s="6"/>
      <c r="Z11" s="1028" t="s">
        <v>613</v>
      </c>
      <c r="AA11" s="1029"/>
      <c r="AB11" s="357">
        <v>0.26819999999999999</v>
      </c>
    </row>
    <row r="12" spans="1:28" ht="30" customHeight="1" x14ac:dyDescent="0.25">
      <c r="A12" s="98" t="s">
        <v>14</v>
      </c>
      <c r="B12" s="1010" t="s">
        <v>607</v>
      </c>
      <c r="C12" s="1010"/>
      <c r="D12" s="1010"/>
      <c r="E12" s="1010"/>
      <c r="F12" s="6"/>
      <c r="Z12" s="1028" t="s">
        <v>614</v>
      </c>
      <c r="AA12" s="1029"/>
      <c r="AB12" s="357">
        <v>1.18E-2</v>
      </c>
    </row>
    <row r="13" spans="1:28" ht="30" customHeight="1" x14ac:dyDescent="0.25">
      <c r="A13" s="98" t="s">
        <v>3</v>
      </c>
      <c r="B13" s="1010"/>
      <c r="C13" s="1010"/>
      <c r="D13" s="1010"/>
      <c r="E13" s="1010"/>
      <c r="F13" s="6"/>
      <c r="G13" s="59" t="s">
        <v>225</v>
      </c>
      <c r="H13" s="60" t="s">
        <v>226</v>
      </c>
      <c r="I13" s="60" t="s">
        <v>109</v>
      </c>
      <c r="J13" s="60" t="s">
        <v>227</v>
      </c>
      <c r="K13" s="60" t="s">
        <v>120</v>
      </c>
      <c r="L13" s="60" t="s">
        <v>150</v>
      </c>
      <c r="M13" s="60" t="s">
        <v>228</v>
      </c>
      <c r="N13" s="60" t="s">
        <v>229</v>
      </c>
      <c r="O13" s="60" t="s">
        <v>230</v>
      </c>
      <c r="Z13" s="1028" t="s">
        <v>615</v>
      </c>
      <c r="AA13" s="1029"/>
      <c r="AB13" s="358">
        <f>AB15/0.55</f>
        <v>0.50363636363636366</v>
      </c>
    </row>
    <row r="14" spans="1:28" ht="30" customHeight="1" x14ac:dyDescent="0.25">
      <c r="A14" s="98" t="s">
        <v>15</v>
      </c>
      <c r="B14" s="1010"/>
      <c r="C14" s="1010"/>
      <c r="D14" s="1010"/>
      <c r="E14" s="1010"/>
      <c r="F14" s="6"/>
      <c r="G14" s="61">
        <f>G11</f>
        <v>640</v>
      </c>
      <c r="H14" s="62">
        <v>15490</v>
      </c>
      <c r="I14" s="62">
        <v>6</v>
      </c>
      <c r="J14" s="62">
        <v>1.6</v>
      </c>
      <c r="K14" s="62">
        <v>0.24</v>
      </c>
      <c r="L14" s="62">
        <f>AB8</f>
        <v>0.26819999999999999</v>
      </c>
      <c r="M14" s="62">
        <v>0.38</v>
      </c>
      <c r="N14" s="62">
        <v>0.98</v>
      </c>
      <c r="O14" s="273">
        <f>AB15</f>
        <v>0.27700000000000002</v>
      </c>
      <c r="Z14" s="1028" t="s">
        <v>616</v>
      </c>
      <c r="AA14" s="1029"/>
      <c r="AB14" s="357">
        <v>0.26819999999999999</v>
      </c>
    </row>
    <row r="15" spans="1:28" ht="30" customHeight="1" x14ac:dyDescent="0.25">
      <c r="A15" s="98" t="s">
        <v>4</v>
      </c>
      <c r="B15" s="1010">
        <v>2018</v>
      </c>
      <c r="C15" s="1010"/>
      <c r="D15" s="1010"/>
      <c r="E15" s="1010"/>
      <c r="F15" s="6"/>
      <c r="G15" s="55"/>
      <c r="H15" s="55"/>
      <c r="I15" s="62">
        <v>100</v>
      </c>
      <c r="J15" s="55"/>
      <c r="K15" s="55"/>
      <c r="L15" s="55"/>
      <c r="M15" s="55"/>
      <c r="N15" s="55"/>
      <c r="O15" s="55"/>
      <c r="Z15" s="1028" t="s">
        <v>578</v>
      </c>
      <c r="AA15" s="1029"/>
      <c r="AB15" s="357">
        <v>0.27700000000000002</v>
      </c>
    </row>
    <row r="16" spans="1:28" ht="30" customHeight="1" x14ac:dyDescent="0.25">
      <c r="A16" s="98" t="s">
        <v>5</v>
      </c>
      <c r="B16" s="1010">
        <v>2030</v>
      </c>
      <c r="C16" s="1010"/>
      <c r="D16" s="1010"/>
      <c r="E16" s="1010"/>
      <c r="F16" s="6"/>
      <c r="G16" s="6"/>
      <c r="H16" s="6"/>
      <c r="I16" s="6"/>
      <c r="J16" s="6"/>
      <c r="K16" s="6"/>
      <c r="L16" s="6"/>
      <c r="M16" s="6"/>
      <c r="N16" s="6"/>
      <c r="O16" s="6"/>
      <c r="Z16" s="1028" t="s">
        <v>579</v>
      </c>
      <c r="AA16" s="1029"/>
      <c r="AB16" s="357">
        <v>0.20269999999999999</v>
      </c>
    </row>
    <row r="17" spans="1:15" ht="30" customHeight="1" x14ac:dyDescent="0.25">
      <c r="A17" s="98" t="s">
        <v>6</v>
      </c>
      <c r="B17" s="1000">
        <f>G14*H19</f>
        <v>16000000</v>
      </c>
      <c r="C17" s="1000"/>
      <c r="D17" s="1000"/>
      <c r="E17" s="1000"/>
      <c r="F17" s="6"/>
      <c r="G17" s="6"/>
      <c r="H17" s="1107" t="s">
        <v>492</v>
      </c>
      <c r="I17" s="1107"/>
      <c r="J17" s="1107" t="s">
        <v>495</v>
      </c>
      <c r="K17" s="1107"/>
      <c r="L17" s="6"/>
      <c r="M17" s="6"/>
      <c r="N17" s="6"/>
      <c r="O17" s="6"/>
    </row>
    <row r="18" spans="1:15" ht="30" customHeight="1" x14ac:dyDescent="0.25">
      <c r="A18" s="98" t="s">
        <v>7</v>
      </c>
      <c r="B18" s="1000">
        <v>0</v>
      </c>
      <c r="C18" s="1000"/>
      <c r="D18" s="1000"/>
      <c r="E18" s="1000"/>
      <c r="F18" s="6"/>
      <c r="G18" s="190"/>
      <c r="H18" s="1107"/>
      <c r="I18" s="1107"/>
      <c r="J18" s="1107"/>
      <c r="K18" s="1107"/>
      <c r="L18" s="212"/>
      <c r="M18" s="6"/>
      <c r="N18" s="6"/>
      <c r="O18" s="6"/>
    </row>
    <row r="19" spans="1:15" ht="30" customHeight="1" x14ac:dyDescent="0.25">
      <c r="A19" s="99" t="s">
        <v>307</v>
      </c>
      <c r="B19" s="1039">
        <f>(I25-I28)</f>
        <v>3641730.612244898</v>
      </c>
      <c r="C19" s="1040"/>
      <c r="D19" s="1040"/>
      <c r="E19" s="1040"/>
      <c r="F19" s="6"/>
      <c r="G19" s="190"/>
      <c r="H19" s="1107">
        <v>25000</v>
      </c>
      <c r="I19" s="1107"/>
      <c r="J19" s="1107">
        <v>20000</v>
      </c>
      <c r="K19" s="1107"/>
      <c r="L19" s="212"/>
      <c r="M19" s="6"/>
      <c r="N19" s="6"/>
      <c r="O19" s="6"/>
    </row>
    <row r="20" spans="1:15" ht="30" customHeight="1" x14ac:dyDescent="0.25">
      <c r="A20" s="96" t="s">
        <v>306</v>
      </c>
      <c r="B20" s="1041"/>
      <c r="C20" s="1042"/>
      <c r="D20" s="1042"/>
      <c r="E20" s="1042"/>
      <c r="F20" s="6"/>
      <c r="G20" s="190"/>
      <c r="H20" s="1107"/>
      <c r="I20" s="1107"/>
      <c r="J20" s="1107"/>
      <c r="K20" s="1107"/>
      <c r="L20" s="212"/>
      <c r="M20" s="6"/>
      <c r="N20" s="6"/>
      <c r="O20" s="6"/>
    </row>
    <row r="21" spans="1:15" ht="30" customHeight="1" x14ac:dyDescent="0.25">
      <c r="A21" s="98" t="s">
        <v>8</v>
      </c>
      <c r="B21" s="1000">
        <f>I22-I23</f>
        <v>691772.98792169942</v>
      </c>
      <c r="C21" s="1000"/>
      <c r="D21" s="1000"/>
      <c r="E21" s="1000"/>
      <c r="F21" s="6"/>
      <c r="G21" s="190"/>
      <c r="H21" s="190"/>
      <c r="I21" s="190"/>
      <c r="J21" s="190"/>
      <c r="K21" s="1110"/>
      <c r="L21" s="1110"/>
      <c r="M21" s="6"/>
      <c r="N21" s="6"/>
      <c r="O21" s="6"/>
    </row>
    <row r="22" spans="1:15" ht="30" customHeight="1" x14ac:dyDescent="0.25">
      <c r="A22" s="98" t="s">
        <v>9</v>
      </c>
      <c r="B22" s="1000"/>
      <c r="C22" s="1000"/>
      <c r="D22" s="1000"/>
      <c r="E22" s="1000"/>
      <c r="F22" s="6"/>
      <c r="G22" s="1108" t="s">
        <v>231</v>
      </c>
      <c r="H22" s="1108"/>
      <c r="I22" s="75">
        <f>B19/10*J14+K22</f>
        <v>1094676.8979591839</v>
      </c>
      <c r="J22" s="56" t="s">
        <v>237</v>
      </c>
      <c r="K22" s="56">
        <f>G14*800</f>
        <v>512000</v>
      </c>
      <c r="L22" s="6"/>
      <c r="M22" s="6"/>
      <c r="N22" s="6"/>
      <c r="O22" s="6"/>
    </row>
    <row r="23" spans="1:15" ht="30" customHeight="1" x14ac:dyDescent="0.25">
      <c r="A23" s="98" t="s">
        <v>301</v>
      </c>
      <c r="B23" s="1016">
        <f>(B17-J19*G14)/(B21+B22)</f>
        <v>4.6257949585655149</v>
      </c>
      <c r="C23" s="1016"/>
      <c r="D23" s="1016"/>
      <c r="E23" s="1016"/>
      <c r="F23" s="6"/>
      <c r="G23" s="1108" t="s">
        <v>232</v>
      </c>
      <c r="H23" s="1108"/>
      <c r="I23" s="75">
        <f>B19*K14*M14/N14+K23</f>
        <v>402903.91003748443</v>
      </c>
      <c r="J23" s="56" t="s">
        <v>237</v>
      </c>
      <c r="K23" s="56">
        <f>G14*100</f>
        <v>64000</v>
      </c>
      <c r="L23" s="6"/>
      <c r="M23" s="6"/>
      <c r="N23" s="6"/>
      <c r="O23" s="6"/>
    </row>
    <row r="24" spans="1:15" ht="30" customHeight="1" x14ac:dyDescent="0.25">
      <c r="A24" s="98" t="s">
        <v>302</v>
      </c>
      <c r="B24" s="1017">
        <f>(B17-(J19*G14)-B18)/(B21+B22)</f>
        <v>4.6257949585655149</v>
      </c>
      <c r="C24" s="1017"/>
      <c r="D24" s="1017"/>
      <c r="E24" s="1017"/>
      <c r="F24" s="6"/>
      <c r="G24" s="190"/>
      <c r="H24" s="190"/>
      <c r="I24" s="190"/>
      <c r="J24" s="190"/>
      <c r="K24" s="6"/>
      <c r="L24" s="6"/>
      <c r="M24" s="6"/>
      <c r="N24" s="6"/>
      <c r="O24" s="6"/>
    </row>
    <row r="25" spans="1:15" ht="30" customHeight="1" x14ac:dyDescent="0.25">
      <c r="A25" s="100" t="s">
        <v>305</v>
      </c>
      <c r="B25" s="1070">
        <f>((I25/1000*L14)-(I28/1000*O14))</f>
        <v>956.41557159183651</v>
      </c>
      <c r="C25" s="1070"/>
      <c r="D25" s="1070"/>
      <c r="E25" s="1070"/>
      <c r="F25" s="6"/>
      <c r="G25" s="1109" t="s">
        <v>233</v>
      </c>
      <c r="H25" s="1109"/>
      <c r="I25" s="191">
        <f>H14*I14/I15*10*G14</f>
        <v>5948160</v>
      </c>
      <c r="J25" s="56" t="s">
        <v>234</v>
      </c>
      <c r="K25" s="6"/>
      <c r="L25" s="6"/>
      <c r="M25" s="6"/>
      <c r="N25" s="6"/>
      <c r="O25" s="6"/>
    </row>
    <row r="26" spans="1:15" ht="30" customHeight="1" x14ac:dyDescent="0.25">
      <c r="A26" s="101" t="s">
        <v>303</v>
      </c>
      <c r="B26" s="1021">
        <f>B25/'Objectifs CO2'!C10</f>
        <v>0.29407741891713152</v>
      </c>
      <c r="C26" s="1021"/>
      <c r="D26" s="1021"/>
      <c r="E26" s="1021"/>
      <c r="F26" s="6"/>
      <c r="G26" s="1109" t="s">
        <v>235</v>
      </c>
      <c r="H26" s="1109"/>
      <c r="I26" s="76">
        <f>I25*M14</f>
        <v>2260300.7999999998</v>
      </c>
      <c r="J26" s="56" t="s">
        <v>234</v>
      </c>
      <c r="K26" s="6"/>
      <c r="L26" s="6"/>
      <c r="M26" s="6"/>
      <c r="N26" s="6"/>
      <c r="O26" s="6"/>
    </row>
    <row r="27" spans="1:15" ht="30" customHeight="1" x14ac:dyDescent="0.25">
      <c r="A27" s="101" t="s">
        <v>304</v>
      </c>
      <c r="B27" s="1044">
        <f>B25/'Objectifs CO2'!C4</f>
        <v>4.411161283756973E-2</v>
      </c>
      <c r="C27" s="1045"/>
      <c r="D27" s="1045"/>
      <c r="E27" s="1045"/>
      <c r="F27" s="6"/>
      <c r="G27" s="1109" t="s">
        <v>236</v>
      </c>
      <c r="H27" s="1109"/>
      <c r="I27" s="76">
        <f>I26</f>
        <v>2260300.7999999998</v>
      </c>
      <c r="J27" s="56" t="s">
        <v>234</v>
      </c>
      <c r="K27" s="6"/>
      <c r="L27" s="6"/>
      <c r="M27" s="6"/>
      <c r="N27" s="6"/>
      <c r="O27" s="6"/>
    </row>
    <row r="28" spans="1:15" ht="30" customHeight="1" x14ac:dyDescent="0.25">
      <c r="A28" s="101" t="s">
        <v>22</v>
      </c>
      <c r="B28" s="1010"/>
      <c r="C28" s="1010"/>
      <c r="D28" s="1010"/>
      <c r="E28" s="1010"/>
      <c r="F28" s="6"/>
      <c r="G28" s="1109" t="s">
        <v>203</v>
      </c>
      <c r="H28" s="1109"/>
      <c r="I28" s="76">
        <f>I27/N14</f>
        <v>2306429.387755102</v>
      </c>
      <c r="J28" s="56" t="s">
        <v>234</v>
      </c>
      <c r="K28" s="6"/>
      <c r="L28" s="6"/>
      <c r="M28" s="6"/>
      <c r="N28" s="6"/>
      <c r="O28" s="6"/>
    </row>
    <row r="29" spans="1:15" ht="30" customHeight="1" x14ac:dyDescent="0.25">
      <c r="A29" s="101" t="s">
        <v>257</v>
      </c>
      <c r="B29" s="999"/>
      <c r="C29" s="999"/>
      <c r="D29" s="999"/>
      <c r="E29" s="999"/>
    </row>
    <row r="31" spans="1:15" x14ac:dyDescent="0.25">
      <c r="A31" s="603" t="s">
        <v>1065</v>
      </c>
      <c r="B31" s="1003" t="s">
        <v>675</v>
      </c>
      <c r="C31" s="1003"/>
      <c r="D31" s="1003"/>
      <c r="E31" s="56" t="s">
        <v>676</v>
      </c>
      <c r="F31" s="6"/>
      <c r="G31" s="6"/>
      <c r="H31" s="6"/>
      <c r="I31" s="6"/>
    </row>
    <row r="32" spans="1:15"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6">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29:E29"/>
    <mergeCell ref="B22:E22"/>
    <mergeCell ref="B23:E23"/>
    <mergeCell ref="B12:E12"/>
    <mergeCell ref="B13:E13"/>
    <mergeCell ref="B14:E14"/>
    <mergeCell ref="B15:E15"/>
    <mergeCell ref="B16:E16"/>
    <mergeCell ref="B17:E17"/>
    <mergeCell ref="B24:E24"/>
    <mergeCell ref="B25:E25"/>
    <mergeCell ref="B26:E26"/>
    <mergeCell ref="B27:E27"/>
    <mergeCell ref="B28:E28"/>
    <mergeCell ref="B18:E18"/>
    <mergeCell ref="B19:E19"/>
    <mergeCell ref="B21:E21"/>
    <mergeCell ref="G26:H26"/>
    <mergeCell ref="G27:H27"/>
    <mergeCell ref="B8:E8"/>
    <mergeCell ref="B9:E9"/>
    <mergeCell ref="B10:E10"/>
    <mergeCell ref="B11:E11"/>
    <mergeCell ref="B4:E4"/>
    <mergeCell ref="B5:E5"/>
    <mergeCell ref="B6:E6"/>
    <mergeCell ref="B7:E7"/>
    <mergeCell ref="B20:E20"/>
    <mergeCell ref="B36:D36"/>
    <mergeCell ref="G8:G10"/>
    <mergeCell ref="Z5:AB5"/>
    <mergeCell ref="Z6:AA6"/>
    <mergeCell ref="Z8:AA8"/>
    <mergeCell ref="Z9:AA9"/>
    <mergeCell ref="Z10:AA10"/>
    <mergeCell ref="G7:H7"/>
    <mergeCell ref="G6:H6"/>
    <mergeCell ref="Z16:AA16"/>
    <mergeCell ref="Z11:AA11"/>
    <mergeCell ref="Z12:AA12"/>
    <mergeCell ref="Z13:AA13"/>
    <mergeCell ref="Z14:AA14"/>
    <mergeCell ref="Z15:AA15"/>
    <mergeCell ref="K21:L21"/>
    <mergeCell ref="H17:I18"/>
    <mergeCell ref="J17:K18"/>
    <mergeCell ref="H19:I20"/>
    <mergeCell ref="J19:K20"/>
    <mergeCell ref="G28:H28"/>
    <mergeCell ref="G22:H22"/>
    <mergeCell ref="G23:H23"/>
    <mergeCell ref="G25:H25"/>
    <mergeCell ref="A1:E1"/>
    <mergeCell ref="B2:E2"/>
    <mergeCell ref="G2:H2"/>
    <mergeCell ref="B3:E3"/>
    <mergeCell ref="G3:H3"/>
    <mergeCell ref="B42:D42"/>
    <mergeCell ref="B44:D44"/>
    <mergeCell ref="B37:D37"/>
    <mergeCell ref="B38:D38"/>
    <mergeCell ref="B39:D39"/>
    <mergeCell ref="B40:D40"/>
    <mergeCell ref="B41:D41"/>
    <mergeCell ref="G4:H4"/>
    <mergeCell ref="G5:H5"/>
    <mergeCell ref="B31:D31"/>
    <mergeCell ref="B32:D32"/>
    <mergeCell ref="G32:I32"/>
    <mergeCell ref="B33:D33"/>
    <mergeCell ref="H33:I33"/>
    <mergeCell ref="G40:I40"/>
    <mergeCell ref="B34:D34"/>
    <mergeCell ref="H34:I34"/>
    <mergeCell ref="B35:D35"/>
    <mergeCell ref="H35:I35"/>
  </mergeCells>
  <conditionalFormatting sqref="B5">
    <cfRule type="containsText" dxfId="170" priority="1" operator="containsText" text="Terminé">
      <formula>NOT(ISERROR(SEARCH("Terminé",B5)))</formula>
    </cfRule>
    <cfRule type="containsText" dxfId="169" priority="2" operator="containsText" text="En cours">
      <formula>NOT(ISERROR(SEARCH("En cours",B5)))</formula>
    </cfRule>
    <cfRule type="containsText" dxfId="16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69"/>
  <sheetViews>
    <sheetView topLeftCell="B13" workbookViewId="0">
      <selection activeCell="B5" sqref="B5:E5"/>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808</v>
      </c>
      <c r="C2" s="1068"/>
      <c r="D2" s="1068"/>
      <c r="E2" s="1068"/>
      <c r="F2" s="7"/>
      <c r="G2" s="986" t="s">
        <v>751</v>
      </c>
      <c r="H2" s="986"/>
    </row>
    <row r="3" spans="1:28" ht="19.5" customHeight="1" x14ac:dyDescent="0.25">
      <c r="A3" s="409" t="s">
        <v>743</v>
      </c>
      <c r="B3" s="987" t="s">
        <v>746</v>
      </c>
      <c r="C3" s="987"/>
      <c r="D3" s="987"/>
      <c r="E3" s="987"/>
      <c r="F3" s="7"/>
      <c r="G3" s="986" t="s">
        <v>752</v>
      </c>
      <c r="H3" s="986"/>
    </row>
    <row r="4" spans="1:28" ht="19.5" customHeight="1" x14ac:dyDescent="0.25">
      <c r="A4" s="403" t="s">
        <v>292</v>
      </c>
      <c r="B4" s="996" t="s">
        <v>34</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401"/>
      <c r="AA7" s="402"/>
      <c r="AB7" s="357"/>
    </row>
    <row r="8" spans="1:28" ht="24" customHeight="1" x14ac:dyDescent="0.25">
      <c r="A8" s="393" t="s">
        <v>1</v>
      </c>
      <c r="B8" s="967" t="s">
        <v>731</v>
      </c>
      <c r="C8" s="967"/>
      <c r="D8" s="967"/>
      <c r="E8" s="967"/>
      <c r="G8" s="388" t="s">
        <v>936</v>
      </c>
      <c r="Z8" s="1028" t="s">
        <v>611</v>
      </c>
      <c r="AA8" s="1029"/>
      <c r="AB8" s="357">
        <v>0.26819999999999999</v>
      </c>
    </row>
    <row r="9" spans="1:28" ht="24" customHeight="1" x14ac:dyDescent="0.25">
      <c r="A9" s="393" t="s">
        <v>0</v>
      </c>
      <c r="B9" s="1111" t="s">
        <v>732</v>
      </c>
      <c r="C9" s="1112"/>
      <c r="D9" s="1112"/>
      <c r="E9" s="1113"/>
      <c r="G9" s="388">
        <v>8083</v>
      </c>
      <c r="Z9" s="1028" t="s">
        <v>612</v>
      </c>
      <c r="AA9" s="1029"/>
      <c r="AB9" s="357">
        <v>3.1300000000000001E-2</v>
      </c>
    </row>
    <row r="10" spans="1:28" ht="30" x14ac:dyDescent="0.25">
      <c r="A10" s="393" t="s">
        <v>2</v>
      </c>
      <c r="B10" s="1034" t="s">
        <v>733</v>
      </c>
      <c r="C10" s="1035"/>
      <c r="D10" s="1035"/>
      <c r="E10" s="1035"/>
      <c r="G10" s="390" t="s">
        <v>225</v>
      </c>
      <c r="H10" s="60" t="s">
        <v>226</v>
      </c>
      <c r="I10" s="60" t="s">
        <v>109</v>
      </c>
      <c r="J10" s="60" t="s">
        <v>735</v>
      </c>
      <c r="K10" s="60" t="s">
        <v>120</v>
      </c>
      <c r="L10" s="60" t="s">
        <v>150</v>
      </c>
      <c r="M10" s="60" t="s">
        <v>228</v>
      </c>
      <c r="N10" s="60" t="s">
        <v>229</v>
      </c>
      <c r="O10" s="60" t="s">
        <v>230</v>
      </c>
      <c r="Z10" s="1028"/>
      <c r="AA10" s="1029"/>
      <c r="AB10" s="357"/>
    </row>
    <row r="11" spans="1:28" ht="15.75" x14ac:dyDescent="0.25">
      <c r="A11" s="393" t="s">
        <v>29</v>
      </c>
      <c r="B11" s="1035" t="s">
        <v>734</v>
      </c>
      <c r="C11" s="1035"/>
      <c r="D11" s="1035"/>
      <c r="E11" s="1035"/>
      <c r="G11" s="259">
        <f>L17*L15/M15</f>
        <v>34.686294642695323</v>
      </c>
      <c r="H11" s="392">
        <v>15490</v>
      </c>
      <c r="I11" s="392">
        <v>3</v>
      </c>
      <c r="J11" s="392">
        <v>1.2</v>
      </c>
      <c r="K11" s="392">
        <v>0</v>
      </c>
      <c r="L11" s="392">
        <f>AB8</f>
        <v>0.26819999999999999</v>
      </c>
      <c r="M11" s="392">
        <v>0.2</v>
      </c>
      <c r="N11" s="392">
        <v>0.98</v>
      </c>
      <c r="O11" s="63">
        <v>0.27700000000000002</v>
      </c>
      <c r="Z11" s="1028" t="s">
        <v>613</v>
      </c>
      <c r="AA11" s="1029"/>
      <c r="AB11" s="357">
        <v>0.26819999999999999</v>
      </c>
    </row>
    <row r="12" spans="1:28" ht="30" customHeight="1" x14ac:dyDescent="0.25">
      <c r="A12" s="393" t="s">
        <v>14</v>
      </c>
      <c r="B12" s="1010" t="s">
        <v>607</v>
      </c>
      <c r="C12" s="1010"/>
      <c r="D12" s="1010"/>
      <c r="E12" s="1010"/>
      <c r="G12" s="190"/>
      <c r="H12" s="190"/>
      <c r="I12" s="392">
        <v>100</v>
      </c>
      <c r="J12" s="190"/>
      <c r="K12" s="190"/>
      <c r="L12" s="190"/>
      <c r="M12" s="190"/>
      <c r="N12" s="190"/>
      <c r="O12" s="190"/>
      <c r="Z12" s="1028" t="s">
        <v>614</v>
      </c>
      <c r="AA12" s="1029"/>
      <c r="AB12" s="357">
        <v>1.18E-2</v>
      </c>
    </row>
    <row r="13" spans="1:28" ht="30" customHeight="1" x14ac:dyDescent="0.25">
      <c r="A13" s="393" t="s">
        <v>3</v>
      </c>
      <c r="B13" s="1010"/>
      <c r="C13" s="1010"/>
      <c r="D13" s="1010"/>
      <c r="E13" s="1010"/>
      <c r="Z13" s="1028" t="s">
        <v>615</v>
      </c>
      <c r="AA13" s="1029"/>
      <c r="AB13" s="358">
        <f>AB15/0.55</f>
        <v>0.50363636363636366</v>
      </c>
    </row>
    <row r="14" spans="1:28" ht="30" customHeight="1" x14ac:dyDescent="0.25">
      <c r="A14" s="393" t="s">
        <v>15</v>
      </c>
      <c r="B14" s="1010"/>
      <c r="C14" s="1010"/>
      <c r="D14" s="1010"/>
      <c r="E14" s="1010"/>
      <c r="H14" s="1107" t="s">
        <v>736</v>
      </c>
      <c r="I14" s="1107"/>
      <c r="J14" s="1107" t="s">
        <v>495</v>
      </c>
      <c r="K14" s="1107"/>
      <c r="L14" s="547" t="s">
        <v>957</v>
      </c>
      <c r="M14" s="390" t="s">
        <v>737</v>
      </c>
      <c r="Z14" s="1028" t="s">
        <v>616</v>
      </c>
      <c r="AA14" s="1029"/>
      <c r="AB14" s="357">
        <v>0.26819999999999999</v>
      </c>
    </row>
    <row r="15" spans="1:28" ht="30" customHeight="1" x14ac:dyDescent="0.25">
      <c r="A15" s="393" t="s">
        <v>4</v>
      </c>
      <c r="B15" s="1010">
        <v>2007</v>
      </c>
      <c r="C15" s="1010"/>
      <c r="D15" s="1010"/>
      <c r="E15" s="1010"/>
      <c r="G15" s="190"/>
      <c r="H15" s="1107"/>
      <c r="I15" s="1107"/>
      <c r="J15" s="1107"/>
      <c r="K15" s="1107"/>
      <c r="L15" s="394">
        <v>8083</v>
      </c>
      <c r="M15" s="390">
        <v>11311117</v>
      </c>
      <c r="N15" s="6">
        <v>35366</v>
      </c>
      <c r="Z15" s="1028" t="s">
        <v>578</v>
      </c>
      <c r="AA15" s="1029"/>
      <c r="AB15" s="357">
        <v>0.27700000000000002</v>
      </c>
    </row>
    <row r="16" spans="1:28" ht="30" customHeight="1" x14ac:dyDescent="0.25">
      <c r="A16" s="393" t="s">
        <v>5</v>
      </c>
      <c r="B16" s="1010">
        <v>2018</v>
      </c>
      <c r="C16" s="1010"/>
      <c r="D16" s="1010"/>
      <c r="E16" s="1010"/>
      <c r="G16" s="190"/>
      <c r="H16" s="1107">
        <v>18000</v>
      </c>
      <c r="I16" s="1107"/>
      <c r="J16" s="1107">
        <v>16000</v>
      </c>
      <c r="K16" s="1107"/>
      <c r="L16" s="389" t="s">
        <v>738</v>
      </c>
      <c r="Z16" s="1028" t="s">
        <v>579</v>
      </c>
      <c r="AA16" s="1029"/>
      <c r="AB16" s="357">
        <v>0.20269999999999999</v>
      </c>
    </row>
    <row r="17" spans="1:12" ht="30" customHeight="1" x14ac:dyDescent="0.25">
      <c r="A17" s="393" t="s">
        <v>6</v>
      </c>
      <c r="B17" s="1000">
        <f>G11*H16</f>
        <v>624353.30356851581</v>
      </c>
      <c r="C17" s="1000"/>
      <c r="D17" s="1000"/>
      <c r="E17" s="1000"/>
      <c r="G17" s="190"/>
      <c r="H17" s="1107"/>
      <c r="I17" s="1107"/>
      <c r="J17" s="1107"/>
      <c r="K17" s="1107"/>
      <c r="L17" s="389">
        <v>48539</v>
      </c>
    </row>
    <row r="18" spans="1:12" ht="30" customHeight="1" x14ac:dyDescent="0.25">
      <c r="A18" s="393" t="s">
        <v>7</v>
      </c>
      <c r="B18" s="1000">
        <v>0</v>
      </c>
      <c r="C18" s="1000"/>
      <c r="D18" s="1000"/>
      <c r="E18" s="1000"/>
      <c r="G18" s="190"/>
      <c r="H18" s="190"/>
      <c r="I18" s="190"/>
      <c r="J18" s="190"/>
      <c r="K18" s="1110"/>
      <c r="L18" s="1110"/>
    </row>
    <row r="19" spans="1:12" ht="30" customHeight="1" x14ac:dyDescent="0.25">
      <c r="A19" s="99" t="s">
        <v>307</v>
      </c>
      <c r="B19" s="1117">
        <f>(I22-I25)/2</f>
        <v>64145.930989587774</v>
      </c>
      <c r="C19" s="1118"/>
      <c r="D19" s="1118"/>
      <c r="E19" s="1118"/>
      <c r="G19" s="1108" t="s">
        <v>739</v>
      </c>
      <c r="H19" s="1108"/>
      <c r="I19" s="75">
        <f>B19/10*J11+K19</f>
        <v>35446.547432906795</v>
      </c>
      <c r="J19" s="56" t="s">
        <v>237</v>
      </c>
      <c r="K19" s="56">
        <f>G11*800</f>
        <v>27749.03571415626</v>
      </c>
    </row>
    <row r="20" spans="1:12" ht="30" customHeight="1" x14ac:dyDescent="0.25">
      <c r="A20" s="96" t="s">
        <v>306</v>
      </c>
      <c r="B20" s="1115"/>
      <c r="C20" s="1116"/>
      <c r="D20" s="1116"/>
      <c r="E20" s="1116"/>
      <c r="G20" s="1108" t="s">
        <v>232</v>
      </c>
      <c r="H20" s="1108"/>
      <c r="I20" s="75">
        <f>B19*K11*M11/N11+K20</f>
        <v>3468.6294642695325</v>
      </c>
      <c r="J20" s="56" t="s">
        <v>237</v>
      </c>
      <c r="K20" s="56">
        <f>G11*100</f>
        <v>3468.6294642695325</v>
      </c>
    </row>
    <row r="21" spans="1:12" ht="30" customHeight="1" x14ac:dyDescent="0.25">
      <c r="A21" s="393" t="s">
        <v>8</v>
      </c>
      <c r="B21" s="1012">
        <f>I19-I20</f>
        <v>31977.917968637263</v>
      </c>
      <c r="C21" s="1012"/>
      <c r="D21" s="1012"/>
      <c r="E21" s="1012"/>
      <c r="G21" s="190"/>
      <c r="H21" s="190"/>
      <c r="I21" s="190"/>
      <c r="J21" s="190"/>
    </row>
    <row r="22" spans="1:12" ht="30" customHeight="1" x14ac:dyDescent="0.25">
      <c r="A22" s="393" t="s">
        <v>9</v>
      </c>
      <c r="B22" s="1012"/>
      <c r="C22" s="1012"/>
      <c r="D22" s="1012"/>
      <c r="E22" s="1012"/>
      <c r="G22" s="1109" t="s">
        <v>740</v>
      </c>
      <c r="H22" s="1109"/>
      <c r="I22" s="391">
        <f>H11*I11/I12*10*G11</f>
        <v>161187.21120460518</v>
      </c>
      <c r="J22" s="56" t="s">
        <v>234</v>
      </c>
    </row>
    <row r="23" spans="1:12" ht="30" customHeight="1" x14ac:dyDescent="0.25">
      <c r="A23" s="393" t="s">
        <v>301</v>
      </c>
      <c r="B23" s="1016">
        <f>(B17-J16*G11)/(B21+B22)</f>
        <v>2.1693904322798221</v>
      </c>
      <c r="C23" s="1016"/>
      <c r="D23" s="1016"/>
      <c r="E23" s="1016"/>
      <c r="G23" s="1109" t="s">
        <v>741</v>
      </c>
      <c r="H23" s="1109"/>
      <c r="I23" s="76">
        <f>I22*M11</f>
        <v>32237.442240921038</v>
      </c>
      <c r="J23" s="56" t="s">
        <v>234</v>
      </c>
    </row>
    <row r="24" spans="1:12" ht="30" customHeight="1" x14ac:dyDescent="0.25">
      <c r="A24" s="393" t="s">
        <v>302</v>
      </c>
      <c r="B24" s="1048">
        <f>(B17-(J16*G11)-B18)/(B21+B22)</f>
        <v>2.1693904322798221</v>
      </c>
      <c r="C24" s="1048"/>
      <c r="D24" s="1048"/>
      <c r="E24" s="1048"/>
      <c r="G24" s="1109" t="s">
        <v>236</v>
      </c>
      <c r="H24" s="1109"/>
      <c r="I24" s="76">
        <f>I23</f>
        <v>32237.442240921038</v>
      </c>
      <c r="J24" s="56" t="s">
        <v>234</v>
      </c>
    </row>
    <row r="25" spans="1:12" ht="30" customHeight="1" x14ac:dyDescent="0.25">
      <c r="A25" s="100" t="s">
        <v>305</v>
      </c>
      <c r="B25" s="1114">
        <f>((I22/1000*L11)-(I25/1000*O11))/2</f>
        <v>17.059199154815552</v>
      </c>
      <c r="C25" s="1114"/>
      <c r="D25" s="1114"/>
      <c r="E25" s="1114"/>
      <c r="G25" s="1109" t="s">
        <v>203</v>
      </c>
      <c r="H25" s="1109"/>
      <c r="I25" s="76">
        <f>I24/N11</f>
        <v>32895.349225429629</v>
      </c>
      <c r="J25" s="56" t="s">
        <v>234</v>
      </c>
    </row>
    <row r="26" spans="1:12" ht="30" customHeight="1" x14ac:dyDescent="0.25">
      <c r="A26" s="101" t="s">
        <v>303</v>
      </c>
      <c r="B26" s="1021">
        <f>B25/'Objectifs CO2'!C10</f>
        <v>5.2453404202649533E-3</v>
      </c>
      <c r="C26" s="1021"/>
      <c r="D26" s="1021"/>
      <c r="E26" s="1021"/>
      <c r="G26" s="1109" t="s">
        <v>235</v>
      </c>
      <c r="H26" s="1109"/>
      <c r="I26" s="76" t="e">
        <f>I25*M14</f>
        <v>#VALUE!</v>
      </c>
      <c r="J26" s="56" t="s">
        <v>234</v>
      </c>
    </row>
    <row r="27" spans="1:12" ht="30" customHeight="1" x14ac:dyDescent="0.25">
      <c r="A27" s="101" t="s">
        <v>304</v>
      </c>
      <c r="B27" s="1044">
        <f>B25/'Objectifs CO2'!C4</f>
        <v>7.8680106303974297E-4</v>
      </c>
      <c r="C27" s="1045"/>
      <c r="D27" s="1045"/>
      <c r="E27" s="1045"/>
      <c r="G27" s="1109" t="s">
        <v>236</v>
      </c>
      <c r="H27" s="1109"/>
      <c r="I27" s="76" t="e">
        <f>I26</f>
        <v>#VALUE!</v>
      </c>
      <c r="J27" s="56" t="s">
        <v>234</v>
      </c>
    </row>
    <row r="28" spans="1:12" ht="30" customHeight="1" x14ac:dyDescent="0.25">
      <c r="A28" s="101" t="s">
        <v>22</v>
      </c>
      <c r="B28" s="1010"/>
      <c r="C28" s="1010"/>
      <c r="D28" s="1010"/>
      <c r="E28" s="1010"/>
      <c r="G28" s="1109" t="s">
        <v>203</v>
      </c>
      <c r="H28" s="1109"/>
      <c r="I28" s="76" t="e">
        <f>I27/N14</f>
        <v>#VALUE!</v>
      </c>
      <c r="J28" s="56" t="s">
        <v>234</v>
      </c>
    </row>
    <row r="29" spans="1:12" ht="30" customHeight="1" x14ac:dyDescent="0.25">
      <c r="A29" s="101" t="s">
        <v>257</v>
      </c>
      <c r="B29" s="999"/>
      <c r="C29" s="999"/>
      <c r="D29" s="999"/>
      <c r="E29" s="999"/>
    </row>
    <row r="31" spans="1:12" x14ac:dyDescent="0.25">
      <c r="A31" s="603" t="s">
        <v>1065</v>
      </c>
      <c r="B31" s="1003" t="s">
        <v>675</v>
      </c>
      <c r="C31" s="1003"/>
      <c r="D31" s="1003"/>
      <c r="E31" s="56" t="s">
        <v>676</v>
      </c>
    </row>
    <row r="32" spans="1:12"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8">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5:AB5"/>
    <mergeCell ref="G6:H6"/>
    <mergeCell ref="Z6:AA6"/>
    <mergeCell ref="B8:E8"/>
    <mergeCell ref="Z8:AA8"/>
    <mergeCell ref="B5:E5"/>
    <mergeCell ref="B6:E6"/>
    <mergeCell ref="B7:E7"/>
    <mergeCell ref="G7:H7"/>
    <mergeCell ref="Z9:AA9"/>
    <mergeCell ref="B10:E10"/>
    <mergeCell ref="Z10:AA10"/>
    <mergeCell ref="B11:E11"/>
    <mergeCell ref="Z11:AA11"/>
    <mergeCell ref="B12:E12"/>
    <mergeCell ref="Z12:AA12"/>
    <mergeCell ref="B13:E13"/>
    <mergeCell ref="Z13:AA13"/>
    <mergeCell ref="Z14:AA14"/>
    <mergeCell ref="Z15:AA15"/>
    <mergeCell ref="B16:E16"/>
    <mergeCell ref="Z16:AA16"/>
    <mergeCell ref="B17:E17"/>
    <mergeCell ref="H16:I17"/>
    <mergeCell ref="J16:K17"/>
    <mergeCell ref="J14:K15"/>
    <mergeCell ref="B14:E14"/>
    <mergeCell ref="H14:I15"/>
    <mergeCell ref="B15:E15"/>
    <mergeCell ref="B44:D44"/>
    <mergeCell ref="B40:D40"/>
    <mergeCell ref="B18:E18"/>
    <mergeCell ref="B19:E19"/>
    <mergeCell ref="B42:D42"/>
    <mergeCell ref="B28:E28"/>
    <mergeCell ref="B41:D41"/>
    <mergeCell ref="G27:H27"/>
    <mergeCell ref="G24:H24"/>
    <mergeCell ref="B26:E26"/>
    <mergeCell ref="G26:H26"/>
    <mergeCell ref="B27:E27"/>
    <mergeCell ref="G28:H28"/>
    <mergeCell ref="B29:E29"/>
    <mergeCell ref="B31:D31"/>
    <mergeCell ref="B32:D32"/>
    <mergeCell ref="G32:I32"/>
    <mergeCell ref="G40:I40"/>
    <mergeCell ref="B33:D33"/>
    <mergeCell ref="H33:I33"/>
    <mergeCell ref="B34:D34"/>
    <mergeCell ref="H34:I34"/>
    <mergeCell ref="B35:D35"/>
    <mergeCell ref="H35:I35"/>
    <mergeCell ref="K18:L18"/>
    <mergeCell ref="G19:H19"/>
    <mergeCell ref="B24:E24"/>
    <mergeCell ref="B25:E25"/>
    <mergeCell ref="G25:H25"/>
    <mergeCell ref="G22:H22"/>
    <mergeCell ref="B23:E23"/>
    <mergeCell ref="G23:H23"/>
    <mergeCell ref="G20:H20"/>
    <mergeCell ref="B20:E20"/>
    <mergeCell ref="B21:E21"/>
    <mergeCell ref="B22:E22"/>
    <mergeCell ref="A1:E1"/>
    <mergeCell ref="B2:E2"/>
    <mergeCell ref="G2:H2"/>
    <mergeCell ref="B3:E3"/>
    <mergeCell ref="G3:H3"/>
    <mergeCell ref="B36:D36"/>
    <mergeCell ref="B37:D37"/>
    <mergeCell ref="B38:D38"/>
    <mergeCell ref="B39:D39"/>
    <mergeCell ref="B9:E9"/>
    <mergeCell ref="G4:H4"/>
    <mergeCell ref="G5:H5"/>
    <mergeCell ref="B4:E4"/>
  </mergeCells>
  <conditionalFormatting sqref="B5">
    <cfRule type="containsText" dxfId="167" priority="1" operator="containsText" text="Terminé">
      <formula>NOT(ISERROR(SEARCH("Terminé",B5)))</formula>
    </cfRule>
    <cfRule type="containsText" dxfId="166" priority="2" operator="containsText" text="En cours">
      <formula>NOT(ISERROR(SEARCH("En cours",B5)))</formula>
    </cfRule>
    <cfRule type="containsText" dxfId="16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zoomScaleNormal="100"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807</v>
      </c>
      <c r="C2" s="1068"/>
      <c r="D2" s="1068"/>
      <c r="E2" s="1068"/>
      <c r="F2" s="7"/>
      <c r="G2" s="986" t="s">
        <v>751</v>
      </c>
      <c r="H2" s="986"/>
    </row>
    <row r="3" spans="1:28" ht="19.5" customHeight="1" x14ac:dyDescent="0.25">
      <c r="A3" s="409" t="s">
        <v>743</v>
      </c>
      <c r="B3" s="987" t="s">
        <v>746</v>
      </c>
      <c r="C3" s="987"/>
      <c r="D3" s="987"/>
      <c r="E3" s="987"/>
      <c r="F3" s="7"/>
      <c r="G3" s="986" t="s">
        <v>752</v>
      </c>
      <c r="H3" s="986"/>
    </row>
    <row r="4" spans="1:28" ht="19.5" customHeight="1" x14ac:dyDescent="0.25">
      <c r="A4" s="403" t="s">
        <v>292</v>
      </c>
      <c r="B4" s="996" t="s">
        <v>34</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763</v>
      </c>
      <c r="C8" s="967"/>
      <c r="D8" s="967"/>
      <c r="E8" s="967"/>
      <c r="G8" s="997" t="s">
        <v>936</v>
      </c>
      <c r="Z8" s="1028" t="s">
        <v>611</v>
      </c>
      <c r="AA8" s="1029"/>
      <c r="AB8" s="357">
        <v>0.26819999999999999</v>
      </c>
    </row>
    <row r="9" spans="1:28" ht="24" customHeight="1" x14ac:dyDescent="0.25">
      <c r="A9" s="98" t="s">
        <v>0</v>
      </c>
      <c r="B9" s="967" t="s">
        <v>451</v>
      </c>
      <c r="C9" s="967"/>
      <c r="D9" s="967"/>
      <c r="E9" s="967"/>
      <c r="G9" s="997"/>
      <c r="Z9" s="1028" t="s">
        <v>612</v>
      </c>
      <c r="AA9" s="1029"/>
      <c r="AB9" s="357">
        <v>3.1300000000000001E-2</v>
      </c>
    </row>
    <row r="10" spans="1:28" ht="42" customHeight="1" x14ac:dyDescent="0.25">
      <c r="A10" s="98" t="s">
        <v>2</v>
      </c>
      <c r="B10" s="1034" t="s">
        <v>837</v>
      </c>
      <c r="C10" s="1035"/>
      <c r="D10" s="1035"/>
      <c r="E10" s="1035"/>
      <c r="G10" s="997"/>
      <c r="M10" s="7"/>
      <c r="Z10" s="1028"/>
      <c r="AA10" s="1029"/>
      <c r="AB10" s="357"/>
    </row>
    <row r="11" spans="1:28" ht="100.5" customHeight="1" x14ac:dyDescent="0.25">
      <c r="A11" s="98" t="s">
        <v>29</v>
      </c>
      <c r="B11" s="1034" t="s">
        <v>453</v>
      </c>
      <c r="C11" s="1035"/>
      <c r="D11" s="1035"/>
      <c r="E11" s="1035"/>
      <c r="G11" s="254">
        <v>200</v>
      </c>
      <c r="H11" s="131" t="s">
        <v>572</v>
      </c>
      <c r="Z11" s="1028" t="s">
        <v>613</v>
      </c>
      <c r="AA11" s="1029"/>
      <c r="AB11" s="357">
        <v>0.26819999999999999</v>
      </c>
    </row>
    <row r="12" spans="1:28" ht="30" customHeight="1" x14ac:dyDescent="0.25">
      <c r="A12" s="98" t="s">
        <v>14</v>
      </c>
      <c r="B12" s="1010" t="s">
        <v>607</v>
      </c>
      <c r="C12" s="1010"/>
      <c r="D12" s="1010"/>
      <c r="E12" s="1010"/>
      <c r="Z12" s="1028" t="s">
        <v>614</v>
      </c>
      <c r="AA12" s="1029"/>
      <c r="AB12" s="357">
        <v>1.18E-2</v>
      </c>
    </row>
    <row r="13" spans="1:28" ht="30" customHeight="1" x14ac:dyDescent="0.25">
      <c r="A13" s="98" t="s">
        <v>3</v>
      </c>
      <c r="B13" s="1010"/>
      <c r="C13" s="1010"/>
      <c r="D13" s="1010"/>
      <c r="E13" s="1010"/>
      <c r="G13" s="184" t="s">
        <v>452</v>
      </c>
      <c r="H13" s="183" t="s">
        <v>238</v>
      </c>
      <c r="I13" s="183" t="s">
        <v>239</v>
      </c>
      <c r="J13" s="183"/>
      <c r="K13" s="183" t="s">
        <v>240</v>
      </c>
      <c r="L13" s="183" t="s">
        <v>118</v>
      </c>
      <c r="Z13" s="1028" t="s">
        <v>615</v>
      </c>
      <c r="AA13" s="1029"/>
      <c r="AB13" s="358">
        <f>AB15/0.55</f>
        <v>0.50363636363636366</v>
      </c>
    </row>
    <row r="14" spans="1:28" ht="30" customHeight="1" x14ac:dyDescent="0.25">
      <c r="A14" s="98" t="s">
        <v>15</v>
      </c>
      <c r="B14" s="1010"/>
      <c r="C14" s="1010"/>
      <c r="D14" s="1010"/>
      <c r="E14" s="1010"/>
      <c r="G14" s="184">
        <f>SUM(G11:L11)</f>
        <v>200</v>
      </c>
      <c r="H14" s="183">
        <v>150</v>
      </c>
      <c r="I14" s="183">
        <v>10</v>
      </c>
      <c r="J14" s="183"/>
      <c r="K14" s="183">
        <v>1.6</v>
      </c>
      <c r="L14" s="183">
        <f>AB8</f>
        <v>0.26819999999999999</v>
      </c>
      <c r="Z14" s="1028" t="s">
        <v>616</v>
      </c>
      <c r="AA14" s="1029"/>
      <c r="AB14" s="357">
        <v>0.26819999999999999</v>
      </c>
    </row>
    <row r="15" spans="1:28" ht="30" customHeight="1" x14ac:dyDescent="0.25">
      <c r="A15" s="98" t="s">
        <v>4</v>
      </c>
      <c r="B15" s="1010">
        <v>2016</v>
      </c>
      <c r="C15" s="1010"/>
      <c r="D15" s="1010"/>
      <c r="E15" s="1010"/>
      <c r="Z15" s="1028" t="s">
        <v>578</v>
      </c>
      <c r="AA15" s="1029"/>
      <c r="AB15" s="357">
        <v>0.27700000000000002</v>
      </c>
    </row>
    <row r="16" spans="1:28" ht="30" customHeight="1" x14ac:dyDescent="0.25">
      <c r="A16" s="98" t="s">
        <v>5</v>
      </c>
      <c r="B16" s="1010">
        <v>2030</v>
      </c>
      <c r="C16" s="1010"/>
      <c r="D16" s="1010"/>
      <c r="E16" s="1010"/>
      <c r="Z16" s="1028" t="s">
        <v>579</v>
      </c>
      <c r="AA16" s="1029"/>
      <c r="AB16" s="357">
        <v>0.20269999999999999</v>
      </c>
    </row>
    <row r="17" spans="1:12" ht="30" customHeight="1" x14ac:dyDescent="0.25">
      <c r="A17" s="98" t="s">
        <v>6</v>
      </c>
      <c r="B17" s="1000">
        <f>G18*H18</f>
        <v>320000</v>
      </c>
      <c r="C17" s="1000"/>
      <c r="D17" s="1000"/>
      <c r="E17" s="1000"/>
      <c r="G17" s="61" t="s">
        <v>241</v>
      </c>
      <c r="H17" s="61" t="s">
        <v>242</v>
      </c>
      <c r="I17" s="77" t="s">
        <v>243</v>
      </c>
      <c r="J17" s="56"/>
      <c r="K17" s="56"/>
      <c r="L17" s="56"/>
    </row>
    <row r="18" spans="1:12" ht="30" customHeight="1" x14ac:dyDescent="0.25">
      <c r="A18" s="98" t="s">
        <v>7</v>
      </c>
      <c r="B18" s="1000">
        <v>0</v>
      </c>
      <c r="C18" s="1000"/>
      <c r="D18" s="1000"/>
      <c r="E18" s="1000"/>
      <c r="G18" s="61">
        <v>1600</v>
      </c>
      <c r="H18" s="61">
        <f>G14</f>
        <v>200</v>
      </c>
      <c r="I18" s="77">
        <f>H14*I14*6/100*G14</f>
        <v>18000</v>
      </c>
      <c r="J18" s="56"/>
      <c r="K18" s="56"/>
      <c r="L18" s="56"/>
    </row>
    <row r="19" spans="1:12" ht="30" customHeight="1" x14ac:dyDescent="0.25">
      <c r="A19" s="99" t="s">
        <v>307</v>
      </c>
      <c r="B19" s="1039">
        <f>I18*10</f>
        <v>180000</v>
      </c>
      <c r="C19" s="1040"/>
      <c r="D19" s="1040"/>
      <c r="E19" s="1040"/>
      <c r="G19" s="2"/>
      <c r="H19" s="2"/>
    </row>
    <row r="20" spans="1:12" ht="30" customHeight="1" x14ac:dyDescent="0.25">
      <c r="A20" s="96" t="s">
        <v>306</v>
      </c>
      <c r="B20" s="1041">
        <f>G25*H25</f>
        <v>0</v>
      </c>
      <c r="C20" s="1042"/>
      <c r="D20" s="1042"/>
      <c r="E20" s="1042"/>
      <c r="G20" s="2"/>
      <c r="H20" s="2"/>
    </row>
    <row r="21" spans="1:12" ht="30" customHeight="1" x14ac:dyDescent="0.25">
      <c r="A21" s="98" t="s">
        <v>8</v>
      </c>
      <c r="B21" s="1000">
        <f>K14*I18</f>
        <v>28800</v>
      </c>
      <c r="C21" s="1000"/>
      <c r="D21" s="1000"/>
      <c r="E21" s="1000"/>
    </row>
    <row r="22" spans="1:12" ht="30" customHeight="1" x14ac:dyDescent="0.25">
      <c r="A22" s="98" t="s">
        <v>9</v>
      </c>
      <c r="B22" s="1000"/>
      <c r="C22" s="1000"/>
      <c r="D22" s="1000"/>
      <c r="E22" s="1000"/>
    </row>
    <row r="23" spans="1:12" ht="30" customHeight="1" x14ac:dyDescent="0.25">
      <c r="A23" s="98" t="s">
        <v>301</v>
      </c>
      <c r="B23" s="1016">
        <f>B17/(B21+B22)</f>
        <v>11.111111111111111</v>
      </c>
      <c r="C23" s="1016"/>
      <c r="D23" s="1016"/>
      <c r="E23" s="1016"/>
    </row>
    <row r="24" spans="1:12" ht="30" customHeight="1" x14ac:dyDescent="0.25">
      <c r="A24" s="98" t="s">
        <v>302</v>
      </c>
      <c r="B24" s="1017">
        <f>(B17-B18)/(B21+B22)</f>
        <v>11.111111111111111</v>
      </c>
      <c r="C24" s="1017"/>
      <c r="D24" s="1017"/>
      <c r="E24" s="1017"/>
    </row>
    <row r="25" spans="1:12" ht="30" customHeight="1" x14ac:dyDescent="0.25">
      <c r="A25" s="100" t="s">
        <v>305</v>
      </c>
      <c r="B25" s="1070">
        <f>B19*L14/1000</f>
        <v>48.276000000000003</v>
      </c>
      <c r="C25" s="1070"/>
      <c r="D25" s="1070"/>
      <c r="E25" s="1070"/>
      <c r="G25" s="6">
        <v>0.26100000000000001</v>
      </c>
    </row>
    <row r="26" spans="1:12" ht="30" customHeight="1" x14ac:dyDescent="0.25">
      <c r="A26" s="101" t="s">
        <v>303</v>
      </c>
      <c r="B26" s="1021">
        <f>B25/'Objectifs CO2'!C10</f>
        <v>1.4843841837512613E-2</v>
      </c>
      <c r="C26" s="1021"/>
      <c r="D26" s="1021"/>
      <c r="E26" s="1021"/>
    </row>
    <row r="27" spans="1:12" ht="30" customHeight="1" x14ac:dyDescent="0.25">
      <c r="A27" s="101" t="s">
        <v>304</v>
      </c>
      <c r="B27" s="1044">
        <f>B25/'Objectifs CO2'!C4</f>
        <v>2.226576275626892E-3</v>
      </c>
      <c r="C27" s="1045"/>
      <c r="D27" s="1045"/>
      <c r="E27" s="1045"/>
    </row>
    <row r="28" spans="1:12" ht="30" customHeight="1" x14ac:dyDescent="0.25">
      <c r="A28" s="101" t="s">
        <v>22</v>
      </c>
      <c r="B28" s="1010" t="s">
        <v>33</v>
      </c>
      <c r="C28" s="1010"/>
      <c r="D28" s="1010"/>
      <c r="E28" s="1010"/>
    </row>
    <row r="29" spans="1:12" ht="30" customHeight="1" x14ac:dyDescent="0.25">
      <c r="A29" s="101" t="s">
        <v>257</v>
      </c>
      <c r="B29" s="999" t="s">
        <v>258</v>
      </c>
      <c r="C29" s="999"/>
      <c r="D29" s="999"/>
      <c r="E29" s="999"/>
    </row>
    <row r="31" spans="1:12" x14ac:dyDescent="0.25">
      <c r="A31" s="603" t="s">
        <v>1065</v>
      </c>
      <c r="B31" s="1003" t="s">
        <v>675</v>
      </c>
      <c r="C31" s="1003"/>
      <c r="D31" s="1003"/>
      <c r="E31" s="56" t="s">
        <v>676</v>
      </c>
    </row>
    <row r="32" spans="1:12"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B21:E21"/>
    <mergeCell ref="B22:E22"/>
    <mergeCell ref="B23:E23"/>
    <mergeCell ref="B24:E24"/>
    <mergeCell ref="G46:L46"/>
    <mergeCell ref="B35:D35"/>
    <mergeCell ref="H35:I35"/>
    <mergeCell ref="B36:D36"/>
    <mergeCell ref="B42:D42"/>
    <mergeCell ref="B44:D44"/>
    <mergeCell ref="B37:D37"/>
    <mergeCell ref="B38:D38"/>
    <mergeCell ref="B39:D39"/>
    <mergeCell ref="B40:D40"/>
    <mergeCell ref="B41:D41"/>
    <mergeCell ref="B33:D33"/>
    <mergeCell ref="H33:I33"/>
    <mergeCell ref="G40:I40"/>
    <mergeCell ref="B34:D34"/>
    <mergeCell ref="H34:I34"/>
    <mergeCell ref="G8:G10"/>
    <mergeCell ref="B8:E8"/>
    <mergeCell ref="B9:E9"/>
    <mergeCell ref="B10:E10"/>
    <mergeCell ref="Z5:AB5"/>
    <mergeCell ref="Z6:AA6"/>
    <mergeCell ref="Z8:AA8"/>
    <mergeCell ref="Z9:AA9"/>
    <mergeCell ref="Z10:AA10"/>
    <mergeCell ref="G7:H7"/>
    <mergeCell ref="B7:E7"/>
    <mergeCell ref="Z16:AA16"/>
    <mergeCell ref="Z11:AA11"/>
    <mergeCell ref="Z12:AA12"/>
    <mergeCell ref="Z13:AA13"/>
    <mergeCell ref="Z14:AA14"/>
    <mergeCell ref="Z15:AA15"/>
    <mergeCell ref="B31:D31"/>
    <mergeCell ref="B32:D32"/>
    <mergeCell ref="G32:I32"/>
    <mergeCell ref="B29:E29"/>
    <mergeCell ref="B16:E16"/>
    <mergeCell ref="B11:E11"/>
    <mergeCell ref="B12:E12"/>
    <mergeCell ref="B13:E13"/>
    <mergeCell ref="B14:E14"/>
    <mergeCell ref="B15:E15"/>
    <mergeCell ref="B28:E28"/>
    <mergeCell ref="B17:E17"/>
    <mergeCell ref="B18:E18"/>
    <mergeCell ref="B19:E19"/>
    <mergeCell ref="B25:E25"/>
    <mergeCell ref="B26:E26"/>
    <mergeCell ref="B27:E27"/>
    <mergeCell ref="B20:E20"/>
    <mergeCell ref="A1:E1"/>
    <mergeCell ref="B2:E2"/>
    <mergeCell ref="G2:H2"/>
    <mergeCell ref="B3:E3"/>
    <mergeCell ref="G3:H3"/>
    <mergeCell ref="G6:H6"/>
    <mergeCell ref="G4:H4"/>
    <mergeCell ref="G5:H5"/>
    <mergeCell ref="B4:E4"/>
    <mergeCell ref="B5:E5"/>
    <mergeCell ref="B6:E6"/>
  </mergeCells>
  <conditionalFormatting sqref="B5">
    <cfRule type="containsText" dxfId="164" priority="1" operator="containsText" text="Terminé">
      <formula>NOT(ISERROR(SEARCH("Terminé",B5)))</formula>
    </cfRule>
    <cfRule type="containsText" dxfId="163" priority="2" operator="containsText" text="En cours">
      <formula>NOT(ISERROR(SEARCH("En cours",B5)))</formula>
    </cfRule>
    <cfRule type="containsText" dxfId="16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4" zoomScaleNormal="100"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0" width="11.42578125" style="6"/>
  </cols>
  <sheetData>
    <row r="1" spans="1:28" ht="26.25" x14ac:dyDescent="0.4">
      <c r="A1" s="1001" t="s">
        <v>937</v>
      </c>
      <c r="B1" s="1001"/>
      <c r="C1" s="1001"/>
      <c r="D1" s="1001"/>
      <c r="E1" s="1001"/>
      <c r="F1" s="276"/>
      <c r="G1" s="7"/>
      <c r="H1" s="7"/>
      <c r="I1"/>
      <c r="J1"/>
    </row>
    <row r="2" spans="1:28" ht="19.5" customHeight="1" x14ac:dyDescent="0.25">
      <c r="A2" s="415" t="s">
        <v>750</v>
      </c>
      <c r="B2" s="1068" t="s">
        <v>806</v>
      </c>
      <c r="C2" s="1068"/>
      <c r="D2" s="1068"/>
      <c r="E2" s="1068"/>
      <c r="F2" s="7"/>
      <c r="G2" s="986" t="s">
        <v>751</v>
      </c>
      <c r="H2" s="986"/>
      <c r="I2"/>
      <c r="J2"/>
    </row>
    <row r="3" spans="1:28" ht="19.5" customHeight="1" x14ac:dyDescent="0.25">
      <c r="A3" s="409" t="s">
        <v>743</v>
      </c>
      <c r="B3" s="987" t="s">
        <v>746</v>
      </c>
      <c r="C3" s="987"/>
      <c r="D3" s="987"/>
      <c r="E3" s="987"/>
      <c r="F3" s="7"/>
      <c r="G3" s="986" t="s">
        <v>752</v>
      </c>
      <c r="H3" s="986"/>
    </row>
    <row r="4" spans="1:28" ht="19.5" customHeight="1" x14ac:dyDescent="0.25">
      <c r="A4" s="403" t="s">
        <v>292</v>
      </c>
      <c r="B4" s="996" t="s">
        <v>34</v>
      </c>
      <c r="C4" s="996"/>
      <c r="D4" s="996"/>
      <c r="E4" s="996"/>
      <c r="F4" s="7"/>
      <c r="G4" s="986" t="s">
        <v>753</v>
      </c>
      <c r="H4" s="986"/>
    </row>
    <row r="5" spans="1:28" ht="19.5" customHeight="1" x14ac:dyDescent="0.25">
      <c r="A5" s="403" t="s">
        <v>16</v>
      </c>
      <c r="B5" s="1015" t="s">
        <v>17</v>
      </c>
      <c r="C5" s="1015"/>
      <c r="D5" s="1015"/>
      <c r="E5" s="1015"/>
      <c r="F5" s="7"/>
      <c r="G5" s="986" t="s">
        <v>754</v>
      </c>
      <c r="H5" s="986"/>
      <c r="Z5" s="1023" t="s">
        <v>609</v>
      </c>
      <c r="AA5" s="1024"/>
      <c r="AB5" s="1025"/>
    </row>
    <row r="6" spans="1:28" ht="19.5" customHeight="1" x14ac:dyDescent="0.25">
      <c r="A6" s="413" t="s">
        <v>474</v>
      </c>
      <c r="B6" s="993" t="s">
        <v>414</v>
      </c>
      <c r="C6" s="993"/>
      <c r="D6" s="993"/>
      <c r="E6" s="993"/>
      <c r="F6" s="7"/>
      <c r="G6" s="986" t="s">
        <v>755</v>
      </c>
      <c r="H6" s="986"/>
      <c r="Z6" s="1026"/>
      <c r="AA6" s="1027"/>
      <c r="AB6" s="357" t="s">
        <v>610</v>
      </c>
    </row>
    <row r="7" spans="1:28" s="6" customFormat="1" ht="19.5" customHeight="1" x14ac:dyDescent="0.25">
      <c r="A7" s="253" t="s">
        <v>475</v>
      </c>
      <c r="B7" s="994" t="s">
        <v>608</v>
      </c>
      <c r="C7" s="994"/>
      <c r="D7" s="994"/>
      <c r="E7" s="994"/>
      <c r="F7" s="7"/>
      <c r="G7" s="995" t="s">
        <v>756</v>
      </c>
      <c r="H7" s="995"/>
      <c r="I7" s="400"/>
      <c r="J7" s="400"/>
      <c r="Z7" s="401"/>
      <c r="AA7" s="402"/>
      <c r="AB7" s="357"/>
    </row>
    <row r="8" spans="1:28" ht="24" customHeight="1" x14ac:dyDescent="0.25">
      <c r="A8" s="98" t="s">
        <v>1</v>
      </c>
      <c r="B8" s="967" t="s">
        <v>34</v>
      </c>
      <c r="C8" s="967"/>
      <c r="D8" s="967"/>
      <c r="E8" s="967"/>
      <c r="F8"/>
      <c r="G8" s="997" t="s">
        <v>936</v>
      </c>
      <c r="K8" s="6"/>
      <c r="L8" s="6"/>
      <c r="M8" s="6"/>
      <c r="Z8" s="1028" t="s">
        <v>611</v>
      </c>
      <c r="AA8" s="1029"/>
      <c r="AB8" s="357">
        <v>0.26819999999999999</v>
      </c>
    </row>
    <row r="9" spans="1:28" ht="24" customHeight="1" x14ac:dyDescent="0.25">
      <c r="A9" s="98" t="s">
        <v>0</v>
      </c>
      <c r="B9" s="967" t="s">
        <v>115</v>
      </c>
      <c r="C9" s="967"/>
      <c r="D9" s="967"/>
      <c r="E9" s="967"/>
      <c r="F9"/>
      <c r="G9" s="997"/>
      <c r="K9" s="6"/>
      <c r="L9" s="6"/>
      <c r="M9" s="6"/>
      <c r="Z9" s="1028" t="s">
        <v>612</v>
      </c>
      <c r="AA9" s="1029"/>
      <c r="AB9" s="357">
        <v>3.1300000000000001E-2</v>
      </c>
    </row>
    <row r="10" spans="1:28" ht="15.75" x14ac:dyDescent="0.25">
      <c r="A10" s="98" t="s">
        <v>2</v>
      </c>
      <c r="B10" s="1034"/>
      <c r="C10" s="1035"/>
      <c r="D10" s="1035"/>
      <c r="E10" s="1035"/>
      <c r="F10"/>
      <c r="G10" s="997"/>
      <c r="K10" s="6"/>
      <c r="L10" s="6"/>
      <c r="M10" s="7"/>
      <c r="Z10" s="1028"/>
      <c r="AA10" s="1029"/>
      <c r="AB10" s="357"/>
    </row>
    <row r="11" spans="1:28" ht="15.75" x14ac:dyDescent="0.25">
      <c r="A11" s="98" t="s">
        <v>29</v>
      </c>
      <c r="B11" s="1035"/>
      <c r="C11" s="1035"/>
      <c r="D11" s="1035"/>
      <c r="E11" s="1035"/>
      <c r="F11"/>
      <c r="G11" s="254">
        <v>2</v>
      </c>
      <c r="H11" s="131" t="s">
        <v>571</v>
      </c>
      <c r="K11" s="6"/>
      <c r="L11" s="6"/>
      <c r="Z11" s="1028" t="s">
        <v>613</v>
      </c>
      <c r="AA11" s="1029"/>
      <c r="AB11" s="357">
        <v>0.26819999999999999</v>
      </c>
    </row>
    <row r="12" spans="1:28" ht="30" customHeight="1" x14ac:dyDescent="0.25">
      <c r="A12" s="98" t="s">
        <v>14</v>
      </c>
      <c r="B12" s="1010" t="s">
        <v>939</v>
      </c>
      <c r="C12" s="1010"/>
      <c r="D12" s="1010"/>
      <c r="E12" s="1010"/>
      <c r="F12"/>
      <c r="G12"/>
      <c r="H12"/>
      <c r="I12"/>
      <c r="J12"/>
      <c r="Z12" s="1028" t="s">
        <v>614</v>
      </c>
      <c r="AA12" s="1029"/>
      <c r="AB12" s="357">
        <v>1.18E-2</v>
      </c>
    </row>
    <row r="13" spans="1:28" ht="30" customHeight="1" x14ac:dyDescent="0.25">
      <c r="A13" s="98" t="s">
        <v>3</v>
      </c>
      <c r="B13" s="1011" t="s">
        <v>943</v>
      </c>
      <c r="C13" s="1011"/>
      <c r="D13" s="1011"/>
      <c r="E13" s="1011"/>
      <c r="F13"/>
      <c r="G13" s="213" t="s">
        <v>496</v>
      </c>
      <c r="H13" s="213" t="s">
        <v>497</v>
      </c>
      <c r="I13"/>
      <c r="J13"/>
      <c r="Z13" s="1028" t="s">
        <v>615</v>
      </c>
      <c r="AA13" s="1029"/>
      <c r="AB13" s="358">
        <f>AB15/0.55</f>
        <v>0.50363636363636366</v>
      </c>
    </row>
    <row r="14" spans="1:28" ht="30" customHeight="1" x14ac:dyDescent="0.25">
      <c r="A14" s="98" t="s">
        <v>15</v>
      </c>
      <c r="B14" s="1010"/>
      <c r="C14" s="1010"/>
      <c r="D14" s="1010"/>
      <c r="E14" s="1010"/>
      <c r="F14"/>
      <c r="G14" s="213">
        <f>SUM(G11:L11)</f>
        <v>2</v>
      </c>
      <c r="H14" s="213">
        <v>10000</v>
      </c>
      <c r="I14"/>
      <c r="J14"/>
      <c r="Z14" s="1028" t="s">
        <v>616</v>
      </c>
      <c r="AA14" s="1029"/>
      <c r="AB14" s="357">
        <v>0.26819999999999999</v>
      </c>
    </row>
    <row r="15" spans="1:28" ht="30" customHeight="1" x14ac:dyDescent="0.25">
      <c r="A15" s="98" t="s">
        <v>4</v>
      </c>
      <c r="B15" s="1010">
        <v>2019</v>
      </c>
      <c r="C15" s="1010"/>
      <c r="D15" s="1010"/>
      <c r="E15" s="1010"/>
      <c r="F15"/>
      <c r="I15"/>
      <c r="J15"/>
      <c r="Z15" s="1028" t="s">
        <v>578</v>
      </c>
      <c r="AA15" s="1029"/>
      <c r="AB15" s="357">
        <v>0.27700000000000002</v>
      </c>
    </row>
    <row r="16" spans="1:28" ht="30" customHeight="1" x14ac:dyDescent="0.25">
      <c r="A16" s="98" t="s">
        <v>5</v>
      </c>
      <c r="B16" s="1010">
        <v>2030</v>
      </c>
      <c r="C16" s="1010"/>
      <c r="D16" s="1010"/>
      <c r="E16" s="1010"/>
      <c r="F16"/>
      <c r="G16"/>
      <c r="H16"/>
      <c r="I16"/>
      <c r="J16"/>
      <c r="Z16" s="1028" t="s">
        <v>579</v>
      </c>
      <c r="AA16" s="1029"/>
      <c r="AB16" s="357">
        <v>0.20269999999999999</v>
      </c>
    </row>
    <row r="17" spans="1:10" ht="30" customHeight="1" x14ac:dyDescent="0.25">
      <c r="A17" s="98" t="s">
        <v>6</v>
      </c>
      <c r="B17" s="1000">
        <f>G14*H14</f>
        <v>20000</v>
      </c>
      <c r="C17" s="1000"/>
      <c r="D17" s="1000"/>
      <c r="E17" s="1000"/>
      <c r="F17"/>
      <c r="G17"/>
      <c r="H17"/>
      <c r="I17"/>
      <c r="J17"/>
    </row>
    <row r="18" spans="1:10" ht="30" customHeight="1" x14ac:dyDescent="0.25">
      <c r="A18" s="98" t="s">
        <v>7</v>
      </c>
      <c r="B18" s="1000">
        <v>0</v>
      </c>
      <c r="C18" s="1000"/>
      <c r="D18" s="1000"/>
      <c r="E18" s="1000"/>
      <c r="I18"/>
      <c r="J18"/>
    </row>
    <row r="19" spans="1:10" ht="30" customHeight="1" x14ac:dyDescent="0.25">
      <c r="A19" s="99" t="s">
        <v>307</v>
      </c>
      <c r="B19" s="1039"/>
      <c r="C19" s="1040"/>
      <c r="D19" s="1040"/>
      <c r="E19" s="1040"/>
      <c r="G19" s="2"/>
      <c r="H19" s="2"/>
      <c r="I19"/>
      <c r="J19"/>
    </row>
    <row r="20" spans="1:10" ht="30" customHeight="1" x14ac:dyDescent="0.25">
      <c r="A20" s="96" t="s">
        <v>306</v>
      </c>
      <c r="B20" s="1041"/>
      <c r="C20" s="1042"/>
      <c r="D20" s="1042"/>
      <c r="E20" s="1042"/>
      <c r="G20" s="2"/>
      <c r="H20" s="2"/>
      <c r="I20"/>
      <c r="J20"/>
    </row>
    <row r="21" spans="1:10" ht="30" customHeight="1" x14ac:dyDescent="0.25">
      <c r="A21" s="98" t="s">
        <v>8</v>
      </c>
      <c r="B21" s="1000">
        <v>1</v>
      </c>
      <c r="C21" s="1000"/>
      <c r="D21" s="1000"/>
      <c r="E21" s="1000"/>
      <c r="I21"/>
      <c r="J21"/>
    </row>
    <row r="22" spans="1:10" ht="30" customHeight="1" x14ac:dyDescent="0.25">
      <c r="A22" s="98" t="s">
        <v>9</v>
      </c>
      <c r="B22" s="1000"/>
      <c r="C22" s="1000"/>
      <c r="D22" s="1000"/>
      <c r="E22" s="1000"/>
      <c r="I22"/>
      <c r="J22"/>
    </row>
    <row r="23" spans="1:10" ht="30" customHeight="1" x14ac:dyDescent="0.25">
      <c r="A23" s="98" t="s">
        <v>301</v>
      </c>
      <c r="B23" s="1016">
        <v>100000</v>
      </c>
      <c r="C23" s="1016"/>
      <c r="D23" s="1016"/>
      <c r="E23" s="1016"/>
      <c r="I23"/>
      <c r="J23"/>
    </row>
    <row r="24" spans="1:10" ht="30" customHeight="1" x14ac:dyDescent="0.25">
      <c r="A24" s="98" t="s">
        <v>302</v>
      </c>
      <c r="B24" s="1017">
        <v>90000</v>
      </c>
      <c r="C24" s="1017"/>
      <c r="D24" s="1017"/>
      <c r="E24" s="1017"/>
      <c r="I24"/>
      <c r="J24"/>
    </row>
    <row r="25" spans="1:10" ht="30" customHeight="1" x14ac:dyDescent="0.25">
      <c r="A25" s="100" t="s">
        <v>305</v>
      </c>
      <c r="B25" s="1070">
        <v>0</v>
      </c>
      <c r="C25" s="1070"/>
      <c r="D25" s="1070"/>
      <c r="E25" s="1070"/>
      <c r="G25" s="6">
        <v>0.26100000000000001</v>
      </c>
      <c r="I25"/>
      <c r="J25"/>
    </row>
    <row r="26" spans="1:10" ht="30" customHeight="1" x14ac:dyDescent="0.25">
      <c r="A26" s="101" t="s">
        <v>303</v>
      </c>
      <c r="B26" s="1021">
        <f>B25/'Objectifs CO2'!C10</f>
        <v>0</v>
      </c>
      <c r="C26" s="1021"/>
      <c r="D26" s="1021"/>
      <c r="E26" s="1021"/>
      <c r="I26"/>
      <c r="J26"/>
    </row>
    <row r="27" spans="1:10" ht="30" customHeight="1" x14ac:dyDescent="0.25">
      <c r="A27" s="101" t="s">
        <v>304</v>
      </c>
      <c r="B27" s="1044">
        <f>B25/'Objectifs CO2'!C4</f>
        <v>0</v>
      </c>
      <c r="C27" s="1045"/>
      <c r="D27" s="1045"/>
      <c r="E27" s="1045"/>
      <c r="I27"/>
      <c r="J27"/>
    </row>
    <row r="28" spans="1:10" ht="30" customHeight="1" x14ac:dyDescent="0.25">
      <c r="A28" s="101" t="s">
        <v>22</v>
      </c>
      <c r="B28" s="1010" t="s">
        <v>33</v>
      </c>
      <c r="C28" s="1010"/>
      <c r="D28" s="1010"/>
      <c r="E28" s="1010"/>
      <c r="I28"/>
      <c r="J28"/>
    </row>
    <row r="29" spans="1:10" ht="30" customHeight="1" x14ac:dyDescent="0.25">
      <c r="A29" s="101" t="s">
        <v>257</v>
      </c>
      <c r="B29" s="999"/>
      <c r="C29" s="999"/>
      <c r="D29" s="999"/>
      <c r="E29" s="999"/>
      <c r="I29"/>
      <c r="J29"/>
    </row>
    <row r="31" spans="1:10" x14ac:dyDescent="0.25">
      <c r="A31" s="603" t="s">
        <v>1065</v>
      </c>
      <c r="B31" s="1003" t="s">
        <v>675</v>
      </c>
      <c r="C31" s="1003"/>
      <c r="D31" s="1003"/>
      <c r="E31" s="56" t="s">
        <v>676</v>
      </c>
    </row>
    <row r="32" spans="1:10"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B21:E21"/>
    <mergeCell ref="B22:E22"/>
    <mergeCell ref="B23:E23"/>
    <mergeCell ref="B24:E24"/>
    <mergeCell ref="G46:L46"/>
    <mergeCell ref="B35:D35"/>
    <mergeCell ref="H35:I35"/>
    <mergeCell ref="B36:D36"/>
    <mergeCell ref="B42:D42"/>
    <mergeCell ref="B44:D44"/>
    <mergeCell ref="B37:D37"/>
    <mergeCell ref="B38:D38"/>
    <mergeCell ref="B39:D39"/>
    <mergeCell ref="B40:D40"/>
    <mergeCell ref="B41:D41"/>
    <mergeCell ref="B33:D33"/>
    <mergeCell ref="H33:I33"/>
    <mergeCell ref="G40:I40"/>
    <mergeCell ref="B34:D34"/>
    <mergeCell ref="H34:I34"/>
    <mergeCell ref="G8:G10"/>
    <mergeCell ref="B8:E8"/>
    <mergeCell ref="B9:E9"/>
    <mergeCell ref="B10:E10"/>
    <mergeCell ref="Z5:AB5"/>
    <mergeCell ref="Z6:AA6"/>
    <mergeCell ref="Z8:AA8"/>
    <mergeCell ref="Z9:AA9"/>
    <mergeCell ref="Z10:AA10"/>
    <mergeCell ref="G7:H7"/>
    <mergeCell ref="B7:E7"/>
    <mergeCell ref="Z16:AA16"/>
    <mergeCell ref="Z11:AA11"/>
    <mergeCell ref="Z12:AA12"/>
    <mergeCell ref="Z13:AA13"/>
    <mergeCell ref="Z14:AA14"/>
    <mergeCell ref="Z15:AA15"/>
    <mergeCell ref="B31:D31"/>
    <mergeCell ref="B32:D32"/>
    <mergeCell ref="G32:I32"/>
    <mergeCell ref="B29:E29"/>
    <mergeCell ref="B16:E16"/>
    <mergeCell ref="B11:E11"/>
    <mergeCell ref="B12:E12"/>
    <mergeCell ref="B13:E13"/>
    <mergeCell ref="B14:E14"/>
    <mergeCell ref="B15:E15"/>
    <mergeCell ref="B28:E28"/>
    <mergeCell ref="B17:E17"/>
    <mergeCell ref="B18:E18"/>
    <mergeCell ref="B19:E19"/>
    <mergeCell ref="B25:E25"/>
    <mergeCell ref="B26:E26"/>
    <mergeCell ref="B27:E27"/>
    <mergeCell ref="B20:E20"/>
    <mergeCell ref="A1:E1"/>
    <mergeCell ref="B2:E2"/>
    <mergeCell ref="G2:H2"/>
    <mergeCell ref="B3:E3"/>
    <mergeCell ref="G3:H3"/>
    <mergeCell ref="G6:H6"/>
    <mergeCell ref="G4:H4"/>
    <mergeCell ref="G5:H5"/>
    <mergeCell ref="B4:E4"/>
    <mergeCell ref="B5:E5"/>
    <mergeCell ref="B6:E6"/>
  </mergeCells>
  <conditionalFormatting sqref="B5">
    <cfRule type="containsText" dxfId="161" priority="1" operator="containsText" text="Terminé">
      <formula>NOT(ISERROR(SEARCH("Terminé",B5)))</formula>
    </cfRule>
    <cfRule type="containsText" dxfId="160" priority="2" operator="containsText" text="En cours">
      <formula>NOT(ISERROR(SEARCH("En cours",B5)))</formula>
    </cfRule>
    <cfRule type="containsText" dxfId="15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C19" zoomScale="115" zoomScaleNormal="115"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906</v>
      </c>
      <c r="C2" s="1068"/>
      <c r="D2" s="1068"/>
      <c r="E2" s="1068"/>
      <c r="F2" s="7"/>
      <c r="G2" s="986" t="s">
        <v>751</v>
      </c>
      <c r="H2" s="986"/>
    </row>
    <row r="3" spans="1:28" ht="19.5" customHeight="1" x14ac:dyDescent="0.25">
      <c r="A3" s="514" t="s">
        <v>743</v>
      </c>
      <c r="B3" s="987" t="s">
        <v>746</v>
      </c>
      <c r="C3" s="987"/>
      <c r="D3" s="987"/>
      <c r="E3" s="987"/>
      <c r="F3" s="7"/>
      <c r="G3" s="986" t="s">
        <v>752</v>
      </c>
      <c r="H3" s="986"/>
    </row>
    <row r="4" spans="1:28" ht="19.5" customHeight="1" x14ac:dyDescent="0.25">
      <c r="A4" s="515" t="s">
        <v>292</v>
      </c>
      <c r="B4" s="996" t="s">
        <v>34</v>
      </c>
      <c r="C4" s="996"/>
      <c r="D4" s="996"/>
      <c r="E4" s="996"/>
      <c r="F4" s="7"/>
      <c r="G4" s="986" t="s">
        <v>753</v>
      </c>
      <c r="H4" s="986"/>
    </row>
    <row r="5" spans="1:28" ht="19.5" customHeight="1" x14ac:dyDescent="0.25">
      <c r="A5" s="515"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516"/>
      <c r="AA7" s="517"/>
      <c r="AB7" s="357"/>
    </row>
    <row r="8" spans="1:28" ht="24" customHeight="1" x14ac:dyDescent="0.25">
      <c r="A8" s="523" t="s">
        <v>1</v>
      </c>
      <c r="B8" s="967" t="s">
        <v>731</v>
      </c>
      <c r="C8" s="967"/>
      <c r="D8" s="967"/>
      <c r="E8" s="967"/>
      <c r="G8" s="512" t="s">
        <v>936</v>
      </c>
      <c r="Z8" s="1028" t="s">
        <v>611</v>
      </c>
      <c r="AA8" s="1029"/>
      <c r="AB8" s="357">
        <v>0.26819999999999999</v>
      </c>
    </row>
    <row r="9" spans="1:28" ht="24" customHeight="1" x14ac:dyDescent="0.25">
      <c r="A9" s="523" t="s">
        <v>0</v>
      </c>
      <c r="B9" s="1111" t="s">
        <v>732</v>
      </c>
      <c r="C9" s="1112"/>
      <c r="D9" s="1112"/>
      <c r="E9" s="1113"/>
      <c r="G9" s="512">
        <v>8083</v>
      </c>
      <c r="Z9" s="1028" t="s">
        <v>612</v>
      </c>
      <c r="AA9" s="1029"/>
      <c r="AB9" s="357">
        <v>3.1300000000000001E-2</v>
      </c>
    </row>
    <row r="10" spans="1:28" ht="30" x14ac:dyDescent="0.25">
      <c r="A10" s="523" t="s">
        <v>2</v>
      </c>
      <c r="B10" s="1034" t="s">
        <v>907</v>
      </c>
      <c r="C10" s="1035"/>
      <c r="D10" s="1035"/>
      <c r="E10" s="1035"/>
      <c r="G10" s="255" t="s">
        <v>225</v>
      </c>
      <c r="H10" s="60" t="s">
        <v>226</v>
      </c>
      <c r="I10" s="60" t="s">
        <v>109</v>
      </c>
      <c r="J10" s="60" t="s">
        <v>735</v>
      </c>
      <c r="K10" s="60" t="s">
        <v>120</v>
      </c>
      <c r="L10" s="60" t="s">
        <v>150</v>
      </c>
      <c r="M10" s="60" t="s">
        <v>228</v>
      </c>
      <c r="N10" s="60" t="s">
        <v>229</v>
      </c>
      <c r="O10" s="60" t="s">
        <v>230</v>
      </c>
      <c r="Z10" s="1028"/>
      <c r="AA10" s="1029"/>
      <c r="AB10" s="357"/>
    </row>
    <row r="11" spans="1:28" ht="15.75" x14ac:dyDescent="0.25">
      <c r="A11" s="523" t="s">
        <v>29</v>
      </c>
      <c r="B11" s="1035" t="s">
        <v>734</v>
      </c>
      <c r="C11" s="1035"/>
      <c r="D11" s="1035"/>
      <c r="E11" s="1035"/>
      <c r="G11" s="591">
        <v>500</v>
      </c>
      <c r="H11" s="522">
        <v>15490</v>
      </c>
      <c r="I11" s="522">
        <v>3</v>
      </c>
      <c r="J11" s="522">
        <v>1.6</v>
      </c>
      <c r="K11" s="522">
        <v>0</v>
      </c>
      <c r="L11" s="522">
        <f>AB8</f>
        <v>0.26819999999999999</v>
      </c>
      <c r="M11" s="522">
        <v>0.38</v>
      </c>
      <c r="N11" s="522">
        <v>0.98</v>
      </c>
      <c r="O11" s="63">
        <v>0.27700000000000002</v>
      </c>
      <c r="Z11" s="1028" t="s">
        <v>613</v>
      </c>
      <c r="AA11" s="1029"/>
      <c r="AB11" s="357">
        <v>0.26819999999999999</v>
      </c>
    </row>
    <row r="12" spans="1:28" ht="30" customHeight="1" x14ac:dyDescent="0.25">
      <c r="A12" s="523" t="s">
        <v>14</v>
      </c>
      <c r="B12" s="1010" t="s">
        <v>607</v>
      </c>
      <c r="C12" s="1010"/>
      <c r="D12" s="1010"/>
      <c r="E12" s="1010"/>
      <c r="G12" s="190"/>
      <c r="H12" s="190"/>
      <c r="I12" s="522">
        <v>100</v>
      </c>
      <c r="J12" s="190"/>
      <c r="K12" s="190"/>
      <c r="L12" s="190"/>
      <c r="M12" s="190"/>
      <c r="N12" s="190"/>
      <c r="O12" s="190"/>
      <c r="Z12" s="1028" t="s">
        <v>614</v>
      </c>
      <c r="AA12" s="1029"/>
      <c r="AB12" s="357">
        <v>1.18E-2</v>
      </c>
    </row>
    <row r="13" spans="1:28" ht="30" customHeight="1" x14ac:dyDescent="0.25">
      <c r="A13" s="523" t="s">
        <v>3</v>
      </c>
      <c r="B13" s="1010"/>
      <c r="C13" s="1010"/>
      <c r="D13" s="1010"/>
      <c r="E13" s="1010"/>
      <c r="Z13" s="1028" t="s">
        <v>615</v>
      </c>
      <c r="AA13" s="1029"/>
      <c r="AB13" s="358">
        <f>AB15/0.55</f>
        <v>0.50363636363636366</v>
      </c>
    </row>
    <row r="14" spans="1:28" ht="30" customHeight="1" x14ac:dyDescent="0.25">
      <c r="A14" s="523" t="s">
        <v>15</v>
      </c>
      <c r="B14" s="1010"/>
      <c r="C14" s="1010"/>
      <c r="D14" s="1010"/>
      <c r="E14" s="1010"/>
      <c r="H14" s="1107" t="s">
        <v>736</v>
      </c>
      <c r="I14" s="1107"/>
      <c r="J14" s="1107" t="s">
        <v>495</v>
      </c>
      <c r="K14" s="1107"/>
      <c r="L14" s="520" t="s">
        <v>957</v>
      </c>
      <c r="M14" s="520" t="s">
        <v>737</v>
      </c>
      <c r="Z14" s="1028" t="s">
        <v>616</v>
      </c>
      <c r="AA14" s="1029"/>
      <c r="AB14" s="357">
        <v>0.26819999999999999</v>
      </c>
    </row>
    <row r="15" spans="1:28" ht="30" customHeight="1" x14ac:dyDescent="0.25">
      <c r="A15" s="523" t="s">
        <v>4</v>
      </c>
      <c r="B15" s="1010">
        <v>2019</v>
      </c>
      <c r="C15" s="1010"/>
      <c r="D15" s="1010"/>
      <c r="E15" s="1010"/>
      <c r="G15" s="190"/>
      <c r="H15" s="1107"/>
      <c r="I15" s="1107"/>
      <c r="J15" s="1107"/>
      <c r="K15" s="1107"/>
      <c r="L15" s="520">
        <v>8083</v>
      </c>
      <c r="M15" s="520">
        <v>11311117</v>
      </c>
      <c r="N15" s="6">
        <v>35366</v>
      </c>
      <c r="Z15" s="1028" t="s">
        <v>578</v>
      </c>
      <c r="AA15" s="1029"/>
      <c r="AB15" s="357">
        <v>0.27700000000000002</v>
      </c>
    </row>
    <row r="16" spans="1:28" ht="30" customHeight="1" x14ac:dyDescent="0.25">
      <c r="A16" s="523" t="s">
        <v>5</v>
      </c>
      <c r="B16" s="1010">
        <v>2030</v>
      </c>
      <c r="C16" s="1010"/>
      <c r="D16" s="1010"/>
      <c r="E16" s="1010"/>
      <c r="G16" s="190"/>
      <c r="H16" s="1107">
        <v>18000</v>
      </c>
      <c r="I16" s="1107"/>
      <c r="J16" s="1107">
        <v>16000</v>
      </c>
      <c r="K16" s="1107"/>
      <c r="L16" s="518" t="s">
        <v>738</v>
      </c>
      <c r="Z16" s="1028" t="s">
        <v>579</v>
      </c>
      <c r="AA16" s="1029"/>
      <c r="AB16" s="357">
        <v>0.20269999999999999</v>
      </c>
    </row>
    <row r="17" spans="1:12" ht="30" customHeight="1" x14ac:dyDescent="0.25">
      <c r="A17" s="523" t="s">
        <v>6</v>
      </c>
      <c r="B17" s="1000">
        <f>G11*H16</f>
        <v>9000000</v>
      </c>
      <c r="C17" s="1000"/>
      <c r="D17" s="1000"/>
      <c r="E17" s="1000"/>
      <c r="G17" s="190"/>
      <c r="H17" s="1107"/>
      <c r="I17" s="1107"/>
      <c r="J17" s="1107"/>
      <c r="K17" s="1107"/>
      <c r="L17" s="518">
        <v>48539</v>
      </c>
    </row>
    <row r="18" spans="1:12" ht="30" customHeight="1" x14ac:dyDescent="0.25">
      <c r="A18" s="523" t="s">
        <v>7</v>
      </c>
      <c r="B18" s="1000">
        <v>0</v>
      </c>
      <c r="C18" s="1000"/>
      <c r="D18" s="1000"/>
      <c r="E18" s="1000"/>
      <c r="G18" s="190"/>
      <c r="H18" s="190"/>
      <c r="I18" s="190"/>
      <c r="J18" s="190"/>
      <c r="K18" s="1110"/>
      <c r="L18" s="1110"/>
    </row>
    <row r="19" spans="1:12" ht="30" customHeight="1" x14ac:dyDescent="0.25">
      <c r="A19" s="99" t="s">
        <v>307</v>
      </c>
      <c r="B19" s="1117">
        <f>(I22-I25)/2</f>
        <v>711275.51020408166</v>
      </c>
      <c r="C19" s="1118"/>
      <c r="D19" s="1118"/>
      <c r="E19" s="1118"/>
      <c r="G19" s="1108" t="s">
        <v>739</v>
      </c>
      <c r="H19" s="1108"/>
      <c r="I19" s="75">
        <f>B19/10*J11+K19</f>
        <v>513804.08163265308</v>
      </c>
      <c r="J19" s="511" t="s">
        <v>237</v>
      </c>
      <c r="K19" s="511">
        <f>G11*800</f>
        <v>400000</v>
      </c>
    </row>
    <row r="20" spans="1:12" ht="30" customHeight="1" x14ac:dyDescent="0.25">
      <c r="A20" s="96" t="s">
        <v>306</v>
      </c>
      <c r="B20" s="1115"/>
      <c r="C20" s="1116"/>
      <c r="D20" s="1116"/>
      <c r="E20" s="1116"/>
      <c r="G20" s="1108" t="s">
        <v>232</v>
      </c>
      <c r="H20" s="1108"/>
      <c r="I20" s="75">
        <f>B19*K11*M11/N11+K20</f>
        <v>50000</v>
      </c>
      <c r="J20" s="511" t="s">
        <v>237</v>
      </c>
      <c r="K20" s="511">
        <f>G11*100</f>
        <v>50000</v>
      </c>
    </row>
    <row r="21" spans="1:12" ht="30" customHeight="1" x14ac:dyDescent="0.25">
      <c r="A21" s="523" t="s">
        <v>8</v>
      </c>
      <c r="B21" s="1012">
        <f>I19-I20</f>
        <v>463804.08163265308</v>
      </c>
      <c r="C21" s="1012"/>
      <c r="D21" s="1012"/>
      <c r="E21" s="1012"/>
      <c r="G21" s="190"/>
      <c r="H21" s="190"/>
      <c r="I21" s="190"/>
      <c r="J21" s="190"/>
    </row>
    <row r="22" spans="1:12" ht="30" customHeight="1" x14ac:dyDescent="0.25">
      <c r="A22" s="523" t="s">
        <v>9</v>
      </c>
      <c r="B22" s="1012"/>
      <c r="C22" s="1012"/>
      <c r="D22" s="1012"/>
      <c r="E22" s="1012"/>
      <c r="G22" s="1109" t="s">
        <v>740</v>
      </c>
      <c r="H22" s="1109"/>
      <c r="I22" s="521">
        <f>H11*I11/I12*10*G11</f>
        <v>2323500</v>
      </c>
      <c r="J22" s="511" t="s">
        <v>234</v>
      </c>
    </row>
    <row r="23" spans="1:12" ht="30" customHeight="1" x14ac:dyDescent="0.25">
      <c r="A23" s="523" t="s">
        <v>301</v>
      </c>
      <c r="B23" s="1016">
        <f>(B17-J16*G11)/(B21+B22)</f>
        <v>2.1560827935792735</v>
      </c>
      <c r="C23" s="1016"/>
      <c r="D23" s="1016"/>
      <c r="E23" s="1016"/>
      <c r="G23" s="1109" t="s">
        <v>741</v>
      </c>
      <c r="H23" s="1109"/>
      <c r="I23" s="76">
        <f>I22*M11</f>
        <v>882930</v>
      </c>
      <c r="J23" s="511" t="s">
        <v>234</v>
      </c>
    </row>
    <row r="24" spans="1:12" ht="30" customHeight="1" x14ac:dyDescent="0.25">
      <c r="A24" s="523" t="s">
        <v>302</v>
      </c>
      <c r="B24" s="1048">
        <f>(B17-(J16*G11)-B18)/(B21+B22)</f>
        <v>2.1560827935792735</v>
      </c>
      <c r="C24" s="1048"/>
      <c r="D24" s="1048"/>
      <c r="E24" s="1048"/>
      <c r="G24" s="1109" t="s">
        <v>236</v>
      </c>
      <c r="H24" s="1109"/>
      <c r="I24" s="76">
        <f>I23</f>
        <v>882930</v>
      </c>
      <c r="J24" s="511" t="s">
        <v>234</v>
      </c>
    </row>
    <row r="25" spans="1:12" ht="30" customHeight="1" x14ac:dyDescent="0.25">
      <c r="A25" s="100" t="s">
        <v>305</v>
      </c>
      <c r="B25" s="1114">
        <f>((I22/1000*L11)-(I25/1000*O11))/2</f>
        <v>186.79991632653056</v>
      </c>
      <c r="C25" s="1114"/>
      <c r="D25" s="1114"/>
      <c r="E25" s="1114"/>
      <c r="G25" s="1109" t="s">
        <v>203</v>
      </c>
      <c r="H25" s="1109"/>
      <c r="I25" s="76">
        <f>I24/N11</f>
        <v>900948.9795918368</v>
      </c>
      <c r="J25" s="511" t="s">
        <v>234</v>
      </c>
    </row>
    <row r="26" spans="1:12" ht="30" customHeight="1" x14ac:dyDescent="0.25">
      <c r="A26" s="101" t="s">
        <v>303</v>
      </c>
      <c r="B26" s="1021">
        <f>B25/'Objectifs CO2'!C10</f>
        <v>5.7436995882252248E-2</v>
      </c>
      <c r="C26" s="1021"/>
      <c r="D26" s="1021"/>
      <c r="E26" s="1021"/>
      <c r="G26" s="1109" t="s">
        <v>235</v>
      </c>
      <c r="H26" s="1109"/>
      <c r="I26" s="76" t="e">
        <f>I25*M14</f>
        <v>#VALUE!</v>
      </c>
      <c r="J26" s="511" t="s">
        <v>234</v>
      </c>
    </row>
    <row r="27" spans="1:12" ht="30" customHeight="1" x14ac:dyDescent="0.25">
      <c r="A27" s="101" t="s">
        <v>304</v>
      </c>
      <c r="B27" s="1044">
        <f>B25/'Objectifs CO2'!C4</f>
        <v>8.6155493823378369E-3</v>
      </c>
      <c r="C27" s="1045"/>
      <c r="D27" s="1045"/>
      <c r="E27" s="1045"/>
      <c r="G27" s="1109" t="s">
        <v>236</v>
      </c>
      <c r="H27" s="1109"/>
      <c r="I27" s="76" t="e">
        <f>I26</f>
        <v>#VALUE!</v>
      </c>
      <c r="J27" s="511" t="s">
        <v>234</v>
      </c>
    </row>
    <row r="28" spans="1:12" ht="30" customHeight="1" x14ac:dyDescent="0.25">
      <c r="A28" s="101" t="s">
        <v>22</v>
      </c>
      <c r="B28" s="1010"/>
      <c r="C28" s="1010"/>
      <c r="D28" s="1010"/>
      <c r="E28" s="1010"/>
      <c r="G28" s="1109" t="s">
        <v>203</v>
      </c>
      <c r="H28" s="1109"/>
      <c r="I28" s="76" t="e">
        <f>I27/N14</f>
        <v>#VALUE!</v>
      </c>
      <c r="J28" s="511" t="s">
        <v>234</v>
      </c>
    </row>
    <row r="29" spans="1:12" ht="30" customHeight="1" x14ac:dyDescent="0.25">
      <c r="A29" s="101" t="s">
        <v>257</v>
      </c>
      <c r="B29" s="999"/>
      <c r="C29" s="999"/>
      <c r="D29" s="999"/>
      <c r="E29" s="999"/>
    </row>
    <row r="31" spans="1:12" x14ac:dyDescent="0.25">
      <c r="A31" s="603" t="s">
        <v>1065</v>
      </c>
      <c r="B31" s="1003" t="s">
        <v>675</v>
      </c>
      <c r="C31" s="1003"/>
      <c r="D31" s="1003"/>
      <c r="E31" s="511" t="s">
        <v>676</v>
      </c>
    </row>
    <row r="32" spans="1:12"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19"/>
      <c r="E43" s="94" t="s">
        <v>730</v>
      </c>
    </row>
    <row r="44" spans="1:12" x14ac:dyDescent="0.25">
      <c r="A44" s="519"/>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8">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Z8:AA8"/>
    <mergeCell ref="B9:E9"/>
    <mergeCell ref="Z9:AA9"/>
    <mergeCell ref="B10:E10"/>
    <mergeCell ref="Z10:AA10"/>
    <mergeCell ref="B11:E11"/>
    <mergeCell ref="Z11:AA11"/>
    <mergeCell ref="B12:E12"/>
    <mergeCell ref="Z12:AA12"/>
    <mergeCell ref="Z16:AA16"/>
    <mergeCell ref="B17:E17"/>
    <mergeCell ref="B18:E18"/>
    <mergeCell ref="K18:L18"/>
    <mergeCell ref="B13:E13"/>
    <mergeCell ref="Z13:AA13"/>
    <mergeCell ref="B14:E14"/>
    <mergeCell ref="H14:I15"/>
    <mergeCell ref="J14:K15"/>
    <mergeCell ref="Z14:AA14"/>
    <mergeCell ref="B15:E15"/>
    <mergeCell ref="Z15:AA15"/>
    <mergeCell ref="B22:E22"/>
    <mergeCell ref="G22:H22"/>
    <mergeCell ref="B16:E16"/>
    <mergeCell ref="H16:I17"/>
    <mergeCell ref="J16:K17"/>
    <mergeCell ref="B19:E19"/>
    <mergeCell ref="G19:H19"/>
    <mergeCell ref="B20:E20"/>
    <mergeCell ref="G20:H20"/>
    <mergeCell ref="B21:E21"/>
    <mergeCell ref="B23:E23"/>
    <mergeCell ref="G23:H23"/>
    <mergeCell ref="B24:E24"/>
    <mergeCell ref="G24:H24"/>
    <mergeCell ref="B25:E25"/>
    <mergeCell ref="G25:H25"/>
    <mergeCell ref="B26:E26"/>
    <mergeCell ref="G26:H26"/>
    <mergeCell ref="B27:E27"/>
    <mergeCell ref="G27:H27"/>
    <mergeCell ref="B44:D44"/>
    <mergeCell ref="B38:D38"/>
    <mergeCell ref="B39:D39"/>
    <mergeCell ref="B40:D40"/>
    <mergeCell ref="G40:I40"/>
    <mergeCell ref="B41:D41"/>
    <mergeCell ref="B42:D42"/>
    <mergeCell ref="B28:E28"/>
    <mergeCell ref="G28:H28"/>
    <mergeCell ref="B37:D37"/>
    <mergeCell ref="B29:E29"/>
    <mergeCell ref="B31:D31"/>
    <mergeCell ref="B32:D32"/>
    <mergeCell ref="G32:I32"/>
    <mergeCell ref="B33:D33"/>
    <mergeCell ref="H33:I33"/>
    <mergeCell ref="B34:D34"/>
    <mergeCell ref="H34:I34"/>
    <mergeCell ref="B35:D35"/>
    <mergeCell ref="H35:I35"/>
    <mergeCell ref="B36:D36"/>
  </mergeCells>
  <conditionalFormatting sqref="B5">
    <cfRule type="containsText" dxfId="158" priority="1" operator="containsText" text="Terminé">
      <formula>NOT(ISERROR(SEARCH("Terminé",B5)))</formula>
    </cfRule>
    <cfRule type="containsText" dxfId="157" priority="2" operator="containsText" text="En cours">
      <formula>NOT(ISERROR(SEARCH("En cours",B5)))</formula>
    </cfRule>
    <cfRule type="containsText" dxfId="15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0"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923</v>
      </c>
      <c r="C2" s="1068"/>
      <c r="D2" s="1068"/>
      <c r="E2" s="1068"/>
      <c r="F2" s="7"/>
      <c r="G2" s="986" t="s">
        <v>751</v>
      </c>
      <c r="H2" s="986"/>
    </row>
    <row r="3" spans="1:28" ht="19.5" customHeight="1" x14ac:dyDescent="0.25">
      <c r="A3" s="514" t="s">
        <v>743</v>
      </c>
      <c r="B3" s="987" t="s">
        <v>746</v>
      </c>
      <c r="C3" s="987"/>
      <c r="D3" s="987"/>
      <c r="E3" s="987"/>
      <c r="F3" s="7"/>
      <c r="G3" s="986" t="s">
        <v>752</v>
      </c>
      <c r="H3" s="986"/>
    </row>
    <row r="4" spans="1:28" ht="19.5" customHeight="1" x14ac:dyDescent="0.25">
      <c r="A4" s="515" t="s">
        <v>292</v>
      </c>
      <c r="B4" s="996" t="s">
        <v>34</v>
      </c>
      <c r="C4" s="996"/>
      <c r="D4" s="996"/>
      <c r="E4" s="996"/>
      <c r="F4" s="7"/>
      <c r="G4" s="986" t="s">
        <v>753</v>
      </c>
      <c r="H4" s="986"/>
    </row>
    <row r="5" spans="1:28" ht="19.5" customHeight="1" x14ac:dyDescent="0.25">
      <c r="A5" s="515"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516"/>
      <c r="AA7" s="517"/>
      <c r="AB7" s="357"/>
    </row>
    <row r="8" spans="1:28" ht="24" customHeight="1" x14ac:dyDescent="0.25">
      <c r="A8" s="523" t="s">
        <v>1</v>
      </c>
      <c r="B8" s="967" t="s">
        <v>731</v>
      </c>
      <c r="C8" s="967"/>
      <c r="D8" s="967"/>
      <c r="E8" s="967"/>
      <c r="Z8" s="1028" t="s">
        <v>611</v>
      </c>
      <c r="AA8" s="1029"/>
      <c r="AB8" s="357">
        <v>0.26819999999999999</v>
      </c>
    </row>
    <row r="9" spans="1:28" ht="24" customHeight="1" x14ac:dyDescent="0.25">
      <c r="A9" s="523" t="s">
        <v>0</v>
      </c>
      <c r="B9" s="1111" t="s">
        <v>909</v>
      </c>
      <c r="C9" s="1112"/>
      <c r="D9" s="1112"/>
      <c r="E9" s="1113"/>
      <c r="Z9" s="1028" t="s">
        <v>612</v>
      </c>
      <c r="AA9" s="1029"/>
      <c r="AB9" s="357">
        <v>3.1300000000000001E-2</v>
      </c>
    </row>
    <row r="10" spans="1:28" ht="30" x14ac:dyDescent="0.25">
      <c r="A10" s="523" t="s">
        <v>2</v>
      </c>
      <c r="B10" s="1034" t="s">
        <v>910</v>
      </c>
      <c r="C10" s="1035"/>
      <c r="D10" s="1035"/>
      <c r="E10" s="1035"/>
      <c r="G10" s="255" t="s">
        <v>225</v>
      </c>
      <c r="H10" s="60" t="s">
        <v>226</v>
      </c>
      <c r="I10" s="60" t="s">
        <v>109</v>
      </c>
      <c r="J10" s="60" t="s">
        <v>918</v>
      </c>
      <c r="K10" s="60" t="s">
        <v>917</v>
      </c>
      <c r="L10" s="60" t="s">
        <v>150</v>
      </c>
      <c r="M10" s="60" t="s">
        <v>228</v>
      </c>
      <c r="N10" s="60" t="s">
        <v>916</v>
      </c>
      <c r="O10" s="60" t="s">
        <v>230</v>
      </c>
      <c r="Z10" s="1028"/>
      <c r="AA10" s="1029"/>
      <c r="AB10" s="357"/>
    </row>
    <row r="11" spans="1:28" ht="15.75" x14ac:dyDescent="0.25">
      <c r="A11" s="523" t="s">
        <v>29</v>
      </c>
      <c r="B11" s="1035"/>
      <c r="C11" s="1035"/>
      <c r="D11" s="1035"/>
      <c r="E11" s="1035"/>
      <c r="G11" s="591">
        <v>100</v>
      </c>
      <c r="H11" s="522">
        <v>15490</v>
      </c>
      <c r="I11" s="522">
        <v>6</v>
      </c>
      <c r="J11" s="522">
        <v>1.6</v>
      </c>
      <c r="K11" s="522">
        <v>0.06</v>
      </c>
      <c r="L11" s="522">
        <f>AB8</f>
        <v>0.26819999999999999</v>
      </c>
      <c r="M11" s="522">
        <v>0.2</v>
      </c>
      <c r="N11" s="522">
        <v>0.5</v>
      </c>
      <c r="O11" s="63">
        <v>0.27700000000000002</v>
      </c>
      <c r="Z11" s="1028" t="s">
        <v>613</v>
      </c>
      <c r="AA11" s="1029"/>
      <c r="AB11" s="357">
        <v>0.26819999999999999</v>
      </c>
    </row>
    <row r="12" spans="1:28" ht="30" customHeight="1" x14ac:dyDescent="0.25">
      <c r="A12" s="523" t="s">
        <v>14</v>
      </c>
      <c r="B12" s="1010" t="s">
        <v>607</v>
      </c>
      <c r="C12" s="1010"/>
      <c r="D12" s="1010"/>
      <c r="E12" s="1010"/>
      <c r="G12" s="190"/>
      <c r="H12" s="190"/>
      <c r="I12" s="522">
        <v>100</v>
      </c>
      <c r="J12" s="190"/>
      <c r="K12" s="190"/>
      <c r="L12" s="190"/>
      <c r="M12" s="190"/>
      <c r="N12" s="190"/>
      <c r="O12" s="190"/>
      <c r="Z12" s="1028" t="s">
        <v>614</v>
      </c>
      <c r="AA12" s="1029"/>
      <c r="AB12" s="357">
        <v>1.18E-2</v>
      </c>
    </row>
    <row r="13" spans="1:28" ht="30" customHeight="1" x14ac:dyDescent="0.25">
      <c r="A13" s="523" t="s">
        <v>3</v>
      </c>
      <c r="B13" s="1010"/>
      <c r="C13" s="1010"/>
      <c r="D13" s="1010"/>
      <c r="E13" s="1010"/>
      <c r="Z13" s="1028" t="s">
        <v>615</v>
      </c>
      <c r="AA13" s="1029"/>
      <c r="AB13" s="358">
        <f>AB15/0.55</f>
        <v>0.50363636363636366</v>
      </c>
    </row>
    <row r="14" spans="1:28" ht="30" customHeight="1" x14ac:dyDescent="0.25">
      <c r="A14" s="523" t="s">
        <v>15</v>
      </c>
      <c r="B14" s="1010"/>
      <c r="C14" s="1010"/>
      <c r="D14" s="1010"/>
      <c r="E14" s="1010"/>
      <c r="H14" s="1107" t="s">
        <v>919</v>
      </c>
      <c r="I14" s="1107"/>
      <c r="J14" s="1107" t="s">
        <v>495</v>
      </c>
      <c r="K14" s="1107"/>
      <c r="L14" s="520"/>
      <c r="M14" s="520" t="s">
        <v>737</v>
      </c>
      <c r="Z14" s="1028" t="s">
        <v>616</v>
      </c>
      <c r="AA14" s="1029"/>
      <c r="AB14" s="357">
        <v>0.26819999999999999</v>
      </c>
    </row>
    <row r="15" spans="1:28" ht="30" customHeight="1" x14ac:dyDescent="0.25">
      <c r="A15" s="523" t="s">
        <v>4</v>
      </c>
      <c r="B15" s="1010">
        <v>2019</v>
      </c>
      <c r="C15" s="1010"/>
      <c r="D15" s="1010"/>
      <c r="E15" s="1010"/>
      <c r="G15" s="190"/>
      <c r="H15" s="1107"/>
      <c r="I15" s="1107"/>
      <c r="J15" s="1107"/>
      <c r="K15" s="1107"/>
      <c r="L15" s="520"/>
      <c r="M15" s="520">
        <v>11311117</v>
      </c>
      <c r="N15" s="6">
        <v>35366</v>
      </c>
      <c r="Z15" s="1028" t="s">
        <v>578</v>
      </c>
      <c r="AA15" s="1029"/>
      <c r="AB15" s="357">
        <v>0.27700000000000002</v>
      </c>
    </row>
    <row r="16" spans="1:28" ht="30" customHeight="1" x14ac:dyDescent="0.25">
      <c r="A16" s="523" t="s">
        <v>5</v>
      </c>
      <c r="B16" s="1010">
        <v>2030</v>
      </c>
      <c r="C16" s="1010"/>
      <c r="D16" s="1010"/>
      <c r="E16" s="1010"/>
      <c r="G16" s="190"/>
      <c r="H16" s="1107">
        <v>20000</v>
      </c>
      <c r="I16" s="1107"/>
      <c r="J16" s="1107">
        <v>16000</v>
      </c>
      <c r="K16" s="1107"/>
      <c r="L16" s="518" t="s">
        <v>738</v>
      </c>
      <c r="Z16" s="1028" t="s">
        <v>579</v>
      </c>
      <c r="AA16" s="1029"/>
      <c r="AB16" s="357">
        <v>0.20269999999999999</v>
      </c>
    </row>
    <row r="17" spans="1:12" ht="30" customHeight="1" x14ac:dyDescent="0.25">
      <c r="A17" s="523" t="s">
        <v>6</v>
      </c>
      <c r="B17" s="1000">
        <f>G11*H16</f>
        <v>2000000</v>
      </c>
      <c r="C17" s="1000"/>
      <c r="D17" s="1000"/>
      <c r="E17" s="1000"/>
      <c r="G17" s="190"/>
      <c r="H17" s="1107"/>
      <c r="I17" s="1107"/>
      <c r="J17" s="1107"/>
      <c r="K17" s="1107"/>
      <c r="L17" s="518"/>
    </row>
    <row r="18" spans="1:12" ht="30" customHeight="1" x14ac:dyDescent="0.25">
      <c r="A18" s="523" t="s">
        <v>7</v>
      </c>
      <c r="B18" s="1000">
        <v>0</v>
      </c>
      <c r="C18" s="1000"/>
      <c r="D18" s="1000"/>
      <c r="E18" s="1000"/>
      <c r="G18" s="190"/>
      <c r="H18" s="190"/>
      <c r="I18" s="190"/>
      <c r="J18" s="190"/>
      <c r="K18" s="1110"/>
      <c r="L18" s="1110"/>
    </row>
    <row r="19" spans="1:12" ht="30" customHeight="1" x14ac:dyDescent="0.25">
      <c r="A19" s="99" t="s">
        <v>307</v>
      </c>
      <c r="B19" s="1117">
        <f>(H11*I11/I12/M11*10-H11*I11/I12/N11*10)*G11</f>
        <v>2788200</v>
      </c>
      <c r="C19" s="1118"/>
      <c r="D19" s="1118"/>
      <c r="E19" s="1118"/>
      <c r="G19" s="1108" t="s">
        <v>739</v>
      </c>
      <c r="H19" s="1108"/>
      <c r="I19" s="75">
        <f>B19/10*J11+K19</f>
        <v>526112</v>
      </c>
      <c r="J19" s="511" t="s">
        <v>237</v>
      </c>
      <c r="K19" s="511">
        <f>G11*800</f>
        <v>80000</v>
      </c>
    </row>
    <row r="20" spans="1:12" ht="30" customHeight="1" x14ac:dyDescent="0.25">
      <c r="A20" s="96" t="s">
        <v>306</v>
      </c>
      <c r="B20" s="1115"/>
      <c r="C20" s="1116"/>
      <c r="D20" s="1116"/>
      <c r="E20" s="1116"/>
      <c r="G20" s="1108" t="s">
        <v>232</v>
      </c>
      <c r="H20" s="1108"/>
      <c r="I20" s="75">
        <f>B19*K11*M11/N11+K20</f>
        <v>76916.800000000003</v>
      </c>
      <c r="J20" s="511" t="s">
        <v>237</v>
      </c>
      <c r="K20" s="511">
        <f>G11*100</f>
        <v>10000</v>
      </c>
    </row>
    <row r="21" spans="1:12" ht="30" customHeight="1" x14ac:dyDescent="0.25">
      <c r="A21" s="523" t="s">
        <v>8</v>
      </c>
      <c r="B21" s="1012">
        <f>I19-I20</f>
        <v>449195.2</v>
      </c>
      <c r="C21" s="1012"/>
      <c r="D21" s="1012"/>
      <c r="E21" s="1012"/>
      <c r="G21" s="190"/>
      <c r="H21" s="190"/>
      <c r="I21" s="190"/>
      <c r="J21" s="190"/>
    </row>
    <row r="22" spans="1:12" ht="30" customHeight="1" x14ac:dyDescent="0.25">
      <c r="A22" s="523" t="s">
        <v>9</v>
      </c>
      <c r="B22" s="1012"/>
      <c r="C22" s="1012"/>
      <c r="D22" s="1012"/>
      <c r="E22" s="1012"/>
      <c r="G22" s="1109" t="s">
        <v>740</v>
      </c>
      <c r="H22" s="1109"/>
      <c r="I22" s="521">
        <f>H11*I11/I12*10*G11</f>
        <v>929400</v>
      </c>
      <c r="J22" s="511" t="s">
        <v>234</v>
      </c>
    </row>
    <row r="23" spans="1:12" ht="30" customHeight="1" x14ac:dyDescent="0.25">
      <c r="A23" s="523" t="s">
        <v>301</v>
      </c>
      <c r="B23" s="1016">
        <f>(B17-J16*G11)/(B21+B22)</f>
        <v>0.89048146551877672</v>
      </c>
      <c r="C23" s="1016"/>
      <c r="D23" s="1016"/>
      <c r="E23" s="1016"/>
      <c r="G23" s="1109" t="s">
        <v>741</v>
      </c>
      <c r="H23" s="1109"/>
      <c r="I23" s="76">
        <f>I22*M11</f>
        <v>185880</v>
      </c>
      <c r="J23" s="511" t="s">
        <v>234</v>
      </c>
    </row>
    <row r="24" spans="1:12" ht="30" customHeight="1" x14ac:dyDescent="0.25">
      <c r="A24" s="523" t="s">
        <v>302</v>
      </c>
      <c r="B24" s="1048">
        <f>(B17-(J16*G11)-B18)/(B21+B22)</f>
        <v>0.89048146551877672</v>
      </c>
      <c r="C24" s="1048"/>
      <c r="D24" s="1048"/>
      <c r="E24" s="1048"/>
      <c r="G24" s="1109" t="s">
        <v>236</v>
      </c>
      <c r="H24" s="1109"/>
      <c r="I24" s="76">
        <f>I23</f>
        <v>185880</v>
      </c>
      <c r="J24" s="511" t="s">
        <v>234</v>
      </c>
    </row>
    <row r="25" spans="1:12" ht="30" customHeight="1" x14ac:dyDescent="0.25">
      <c r="A25" s="100" t="s">
        <v>305</v>
      </c>
      <c r="B25" s="1114">
        <f>B19/1000*L11</f>
        <v>747.79523999999992</v>
      </c>
      <c r="C25" s="1114"/>
      <c r="D25" s="1114"/>
      <c r="E25" s="1114"/>
      <c r="G25" s="1109" t="s">
        <v>203</v>
      </c>
      <c r="H25" s="1109"/>
      <c r="I25" s="76">
        <f>I24/N11</f>
        <v>371760</v>
      </c>
      <c r="J25" s="511" t="s">
        <v>234</v>
      </c>
    </row>
    <row r="26" spans="1:12" ht="30" customHeight="1" x14ac:dyDescent="0.25">
      <c r="A26" s="101" t="s">
        <v>303</v>
      </c>
      <c r="B26" s="1021">
        <f>B25/'Objectifs CO2'!C10</f>
        <v>0.22993111006307035</v>
      </c>
      <c r="C26" s="1021"/>
      <c r="D26" s="1021"/>
      <c r="E26" s="1021"/>
      <c r="G26" s="1109" t="s">
        <v>235</v>
      </c>
      <c r="H26" s="1109"/>
      <c r="I26" s="76" t="e">
        <f>I25*M14</f>
        <v>#VALUE!</v>
      </c>
      <c r="J26" s="511" t="s">
        <v>234</v>
      </c>
    </row>
    <row r="27" spans="1:12" ht="30" customHeight="1" x14ac:dyDescent="0.25">
      <c r="A27" s="101" t="s">
        <v>304</v>
      </c>
      <c r="B27" s="1044">
        <f>B25/'Objectifs CO2'!C4</f>
        <v>3.4489666509460552E-2</v>
      </c>
      <c r="C27" s="1045"/>
      <c r="D27" s="1045"/>
      <c r="E27" s="1045"/>
      <c r="G27" s="1109" t="s">
        <v>236</v>
      </c>
      <c r="H27" s="1109"/>
      <c r="I27" s="76" t="e">
        <f>I26</f>
        <v>#VALUE!</v>
      </c>
      <c r="J27" s="511" t="s">
        <v>234</v>
      </c>
    </row>
    <row r="28" spans="1:12" ht="30" customHeight="1" x14ac:dyDescent="0.25">
      <c r="A28" s="101" t="s">
        <v>22</v>
      </c>
      <c r="B28" s="1010"/>
      <c r="C28" s="1010"/>
      <c r="D28" s="1010"/>
      <c r="E28" s="1010"/>
      <c r="G28" s="1109" t="s">
        <v>203</v>
      </c>
      <c r="H28" s="1109"/>
      <c r="I28" s="76" t="e">
        <f>I27/N14</f>
        <v>#VALUE!</v>
      </c>
      <c r="J28" s="511" t="s">
        <v>234</v>
      </c>
    </row>
    <row r="29" spans="1:12" ht="30" customHeight="1" x14ac:dyDescent="0.25">
      <c r="A29" s="101" t="s">
        <v>257</v>
      </c>
      <c r="B29" s="999"/>
      <c r="C29" s="999"/>
      <c r="D29" s="999"/>
      <c r="E29" s="999"/>
    </row>
    <row r="31" spans="1:12" x14ac:dyDescent="0.25">
      <c r="A31" s="603" t="s">
        <v>1065</v>
      </c>
      <c r="B31" s="1003" t="s">
        <v>675</v>
      </c>
      <c r="C31" s="1003"/>
      <c r="D31" s="1003"/>
      <c r="E31" s="511" t="s">
        <v>676</v>
      </c>
    </row>
    <row r="32" spans="1:12"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19"/>
      <c r="E43" s="94" t="s">
        <v>730</v>
      </c>
    </row>
    <row r="44" spans="1:12" x14ac:dyDescent="0.25">
      <c r="A44" s="519"/>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8">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Z8:AA8"/>
    <mergeCell ref="B9:E9"/>
    <mergeCell ref="Z9:AA9"/>
    <mergeCell ref="B10:E10"/>
    <mergeCell ref="Z10:AA10"/>
    <mergeCell ref="B11:E11"/>
    <mergeCell ref="Z11:AA11"/>
    <mergeCell ref="B12:E12"/>
    <mergeCell ref="Z12:AA12"/>
    <mergeCell ref="Z16:AA16"/>
    <mergeCell ref="B17:E17"/>
    <mergeCell ref="B18:E18"/>
    <mergeCell ref="K18:L18"/>
    <mergeCell ref="B13:E13"/>
    <mergeCell ref="Z13:AA13"/>
    <mergeCell ref="B14:E14"/>
    <mergeCell ref="H14:I15"/>
    <mergeCell ref="J14:K15"/>
    <mergeCell ref="Z14:AA14"/>
    <mergeCell ref="B15:E15"/>
    <mergeCell ref="Z15:AA15"/>
    <mergeCell ref="B22:E22"/>
    <mergeCell ref="G22:H22"/>
    <mergeCell ref="B16:E16"/>
    <mergeCell ref="H16:I17"/>
    <mergeCell ref="J16:K17"/>
    <mergeCell ref="B19:E19"/>
    <mergeCell ref="G19:H19"/>
    <mergeCell ref="B20:E20"/>
    <mergeCell ref="G20:H20"/>
    <mergeCell ref="B21:E21"/>
    <mergeCell ref="B23:E23"/>
    <mergeCell ref="G23:H23"/>
    <mergeCell ref="B24:E24"/>
    <mergeCell ref="G24:H24"/>
    <mergeCell ref="B25:E25"/>
    <mergeCell ref="G25:H25"/>
    <mergeCell ref="B26:E26"/>
    <mergeCell ref="G26:H26"/>
    <mergeCell ref="B27:E27"/>
    <mergeCell ref="G27:H27"/>
    <mergeCell ref="B44:D44"/>
    <mergeCell ref="B38:D38"/>
    <mergeCell ref="B39:D39"/>
    <mergeCell ref="B40:D40"/>
    <mergeCell ref="G40:I40"/>
    <mergeCell ref="B41:D41"/>
    <mergeCell ref="B42:D42"/>
    <mergeCell ref="B28:E28"/>
    <mergeCell ref="G28:H28"/>
    <mergeCell ref="B37:D37"/>
    <mergeCell ref="B29:E29"/>
    <mergeCell ref="B31:D31"/>
    <mergeCell ref="B32:D32"/>
    <mergeCell ref="G32:I32"/>
    <mergeCell ref="B33:D33"/>
    <mergeCell ref="H33:I33"/>
    <mergeCell ref="B34:D34"/>
    <mergeCell ref="H34:I34"/>
    <mergeCell ref="B35:D35"/>
    <mergeCell ref="H35:I35"/>
    <mergeCell ref="B36:D36"/>
  </mergeCells>
  <conditionalFormatting sqref="B5">
    <cfRule type="containsText" dxfId="155" priority="1" operator="containsText" text="Terminé">
      <formula>NOT(ISERROR(SEARCH("Terminé",B5)))</formula>
    </cfRule>
    <cfRule type="containsText" dxfId="154" priority="2" operator="containsText" text="En cours">
      <formula>NOT(ISERROR(SEARCH("En cours",B5)))</formula>
    </cfRule>
    <cfRule type="containsText" dxfId="15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3"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922</v>
      </c>
      <c r="C2" s="1068"/>
      <c r="D2" s="1068"/>
      <c r="E2" s="1068"/>
      <c r="F2" s="7"/>
      <c r="G2" s="986" t="s">
        <v>751</v>
      </c>
      <c r="H2" s="986"/>
    </row>
    <row r="3" spans="1:28" ht="19.5" customHeight="1" x14ac:dyDescent="0.25">
      <c r="A3" s="514" t="s">
        <v>743</v>
      </c>
      <c r="B3" s="987" t="s">
        <v>746</v>
      </c>
      <c r="C3" s="987"/>
      <c r="D3" s="987"/>
      <c r="E3" s="987"/>
      <c r="F3" s="7"/>
      <c r="G3" s="986" t="s">
        <v>752</v>
      </c>
      <c r="H3" s="986"/>
    </row>
    <row r="4" spans="1:28" ht="19.5" customHeight="1" x14ac:dyDescent="0.25">
      <c r="A4" s="515" t="s">
        <v>292</v>
      </c>
      <c r="B4" s="996" t="s">
        <v>34</v>
      </c>
      <c r="C4" s="996"/>
      <c r="D4" s="996"/>
      <c r="E4" s="996"/>
      <c r="F4" s="7"/>
      <c r="G4" s="986" t="s">
        <v>753</v>
      </c>
      <c r="H4" s="986"/>
    </row>
    <row r="5" spans="1:28" ht="19.5" customHeight="1" x14ac:dyDescent="0.25">
      <c r="A5" s="515"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516"/>
      <c r="AA7" s="517"/>
      <c r="AB7" s="357"/>
    </row>
    <row r="8" spans="1:28" ht="24" customHeight="1" x14ac:dyDescent="0.25">
      <c r="A8" s="523" t="s">
        <v>1</v>
      </c>
      <c r="B8" s="967" t="s">
        <v>731</v>
      </c>
      <c r="C8" s="967"/>
      <c r="D8" s="967"/>
      <c r="E8" s="967"/>
      <c r="Z8" s="1028" t="s">
        <v>611</v>
      </c>
      <c r="AA8" s="1029"/>
      <c r="AB8" s="357">
        <v>0.26819999999999999</v>
      </c>
    </row>
    <row r="9" spans="1:28" ht="24" customHeight="1" x14ac:dyDescent="0.25">
      <c r="A9" s="523" t="s">
        <v>0</v>
      </c>
      <c r="B9" s="1111" t="s">
        <v>908</v>
      </c>
      <c r="C9" s="1112"/>
      <c r="D9" s="1112"/>
      <c r="E9" s="1113"/>
      <c r="Z9" s="1028" t="s">
        <v>612</v>
      </c>
      <c r="AA9" s="1029"/>
      <c r="AB9" s="357">
        <v>3.1300000000000001E-2</v>
      </c>
    </row>
    <row r="10" spans="1:28" ht="40.5" customHeight="1" x14ac:dyDescent="0.25">
      <c r="A10" s="523" t="s">
        <v>2</v>
      </c>
      <c r="B10" s="1034" t="s">
        <v>915</v>
      </c>
      <c r="C10" s="1035"/>
      <c r="D10" s="1035"/>
      <c r="E10" s="1035"/>
      <c r="Z10" s="1028"/>
      <c r="AA10" s="1029"/>
      <c r="AB10" s="357"/>
    </row>
    <row r="11" spans="1:28" ht="15.75" x14ac:dyDescent="0.25">
      <c r="A11" s="523" t="s">
        <v>29</v>
      </c>
      <c r="B11" s="1034"/>
      <c r="C11" s="1035"/>
      <c r="D11" s="1035"/>
      <c r="E11" s="1035"/>
      <c r="Z11" s="1028" t="s">
        <v>613</v>
      </c>
      <c r="AA11" s="1029"/>
      <c r="AB11" s="357">
        <v>0.26819999999999999</v>
      </c>
    </row>
    <row r="12" spans="1:28" ht="30" customHeight="1" x14ac:dyDescent="0.25">
      <c r="A12" s="523" t="s">
        <v>14</v>
      </c>
      <c r="B12" s="1010" t="s">
        <v>607</v>
      </c>
      <c r="C12" s="1010"/>
      <c r="D12" s="1010"/>
      <c r="E12" s="1010"/>
      <c r="G12" s="190"/>
      <c r="Z12" s="1028" t="s">
        <v>614</v>
      </c>
      <c r="AA12" s="1029"/>
      <c r="AB12" s="357">
        <v>1.18E-2</v>
      </c>
    </row>
    <row r="13" spans="1:28" ht="30" customHeight="1" x14ac:dyDescent="0.25">
      <c r="A13" s="523" t="s">
        <v>3</v>
      </c>
      <c r="B13" s="1010"/>
      <c r="C13" s="1010"/>
      <c r="D13" s="1010"/>
      <c r="E13" s="1010"/>
      <c r="G13" s="59" t="s">
        <v>225</v>
      </c>
      <c r="H13" s="60" t="s">
        <v>226</v>
      </c>
      <c r="I13" s="60" t="s">
        <v>109</v>
      </c>
      <c r="J13" s="60" t="s">
        <v>227</v>
      </c>
      <c r="K13" s="60" t="s">
        <v>911</v>
      </c>
      <c r="L13" s="60" t="s">
        <v>150</v>
      </c>
      <c r="M13" s="60" t="s">
        <v>912</v>
      </c>
      <c r="N13" s="60"/>
      <c r="Z13" s="1028" t="s">
        <v>615</v>
      </c>
      <c r="AA13" s="1029"/>
      <c r="AB13" s="358">
        <f>AB15/0.55</f>
        <v>0.50363636363636366</v>
      </c>
    </row>
    <row r="14" spans="1:28" ht="30" customHeight="1" x14ac:dyDescent="0.25">
      <c r="A14" s="523" t="s">
        <v>15</v>
      </c>
      <c r="B14" s="1010"/>
      <c r="C14" s="1010"/>
      <c r="D14" s="1010"/>
      <c r="E14" s="1010"/>
      <c r="G14" s="526">
        <v>500</v>
      </c>
      <c r="H14" s="522">
        <v>15490</v>
      </c>
      <c r="I14" s="522">
        <v>6</v>
      </c>
      <c r="J14" s="522">
        <v>1.6</v>
      </c>
      <c r="K14" s="522">
        <v>0.65</v>
      </c>
      <c r="L14" s="522">
        <f>AB8</f>
        <v>0.26819999999999999</v>
      </c>
      <c r="M14" s="522">
        <f>AB16</f>
        <v>0.20269999999999999</v>
      </c>
      <c r="N14" s="522"/>
      <c r="Z14" s="1028" t="s">
        <v>616</v>
      </c>
      <c r="AA14" s="1029"/>
      <c r="AB14" s="357">
        <v>0.26819999999999999</v>
      </c>
    </row>
    <row r="15" spans="1:28" ht="30" customHeight="1" x14ac:dyDescent="0.25">
      <c r="A15" s="523" t="s">
        <v>4</v>
      </c>
      <c r="B15" s="1010">
        <v>2019</v>
      </c>
      <c r="C15" s="1010"/>
      <c r="D15" s="1010"/>
      <c r="E15" s="1010"/>
      <c r="G15" s="190"/>
      <c r="H15" s="190"/>
      <c r="I15" s="522">
        <v>100</v>
      </c>
      <c r="J15" s="190"/>
      <c r="K15" s="190"/>
      <c r="L15" s="190"/>
      <c r="M15" s="190"/>
      <c r="N15" s="190"/>
      <c r="O15" s="190"/>
      <c r="Z15" s="1028" t="s">
        <v>578</v>
      </c>
      <c r="AA15" s="1029"/>
      <c r="AB15" s="357">
        <v>0.27700000000000002</v>
      </c>
    </row>
    <row r="16" spans="1:28" ht="30" customHeight="1" x14ac:dyDescent="0.25">
      <c r="A16" s="523" t="s">
        <v>5</v>
      </c>
      <c r="B16" s="1010">
        <v>2030</v>
      </c>
      <c r="C16" s="1010"/>
      <c r="D16" s="1010"/>
      <c r="E16" s="1010"/>
      <c r="O16" s="190"/>
      <c r="Z16" s="1028" t="s">
        <v>579</v>
      </c>
      <c r="AA16" s="1029"/>
      <c r="AB16" s="357">
        <v>0.20269999999999999</v>
      </c>
    </row>
    <row r="17" spans="1:15" ht="30" customHeight="1" x14ac:dyDescent="0.25">
      <c r="A17" s="523" t="s">
        <v>6</v>
      </c>
      <c r="B17" s="1000">
        <f>G14*H19</f>
        <v>11000000</v>
      </c>
      <c r="C17" s="1000"/>
      <c r="D17" s="1000"/>
      <c r="E17" s="1000"/>
      <c r="H17" s="1107" t="s">
        <v>913</v>
      </c>
      <c r="I17" s="1107"/>
      <c r="J17" s="1107" t="s">
        <v>914</v>
      </c>
      <c r="K17" s="1107"/>
      <c r="O17" s="190"/>
    </row>
    <row r="18" spans="1:15" ht="30" customHeight="1" x14ac:dyDescent="0.25">
      <c r="A18" s="523" t="s">
        <v>7</v>
      </c>
      <c r="B18" s="1000">
        <v>0</v>
      </c>
      <c r="C18" s="1000"/>
      <c r="D18" s="1000"/>
      <c r="E18" s="1000"/>
      <c r="G18" s="190"/>
      <c r="H18" s="1107"/>
      <c r="I18" s="1107"/>
      <c r="J18" s="1107"/>
      <c r="K18" s="1107"/>
      <c r="L18" s="212"/>
      <c r="O18" s="190"/>
    </row>
    <row r="19" spans="1:15" ht="30" customHeight="1" x14ac:dyDescent="0.25">
      <c r="A19" s="99" t="s">
        <v>307</v>
      </c>
      <c r="B19" s="1039">
        <v>0</v>
      </c>
      <c r="C19" s="1040"/>
      <c r="D19" s="1040"/>
      <c r="E19" s="1040"/>
      <c r="G19" s="190"/>
      <c r="H19" s="1107">
        <v>22000</v>
      </c>
      <c r="I19" s="1107"/>
      <c r="J19" s="1107">
        <v>20000</v>
      </c>
      <c r="K19" s="1107"/>
      <c r="L19" s="212"/>
      <c r="O19" s="190"/>
    </row>
    <row r="20" spans="1:15" ht="30" customHeight="1" x14ac:dyDescent="0.25">
      <c r="A20" s="96" t="s">
        <v>306</v>
      </c>
      <c r="B20" s="1041"/>
      <c r="C20" s="1042"/>
      <c r="D20" s="1042"/>
      <c r="E20" s="1042"/>
      <c r="G20" s="190"/>
      <c r="H20" s="1107"/>
      <c r="I20" s="1107"/>
      <c r="J20" s="1107"/>
      <c r="K20" s="1107"/>
      <c r="L20" s="212"/>
      <c r="O20" s="190"/>
    </row>
    <row r="21" spans="1:15" ht="30" customHeight="1" x14ac:dyDescent="0.25">
      <c r="A21" s="523" t="s">
        <v>8</v>
      </c>
      <c r="B21" s="1000">
        <f>G14*H14*I14/I15*J14-G14*H14*K14*I14/I15</f>
        <v>441465</v>
      </c>
      <c r="C21" s="1000"/>
      <c r="D21" s="1000"/>
      <c r="E21" s="1000"/>
      <c r="G21" s="190"/>
      <c r="H21" s="190"/>
      <c r="I21" s="190"/>
      <c r="J21" s="190"/>
      <c r="K21" s="1110"/>
      <c r="L21" s="1110"/>
      <c r="O21" s="190"/>
    </row>
    <row r="22" spans="1:15" ht="30" customHeight="1" x14ac:dyDescent="0.25">
      <c r="A22" s="523" t="s">
        <v>9</v>
      </c>
      <c r="B22" s="1000">
        <v>0</v>
      </c>
      <c r="C22" s="1000"/>
      <c r="D22" s="1000"/>
      <c r="E22" s="1000"/>
      <c r="G22" s="1108" t="s">
        <v>231</v>
      </c>
      <c r="H22" s="1108"/>
      <c r="I22" s="75">
        <f>B19/10*J14+K22</f>
        <v>400000</v>
      </c>
      <c r="J22" s="511" t="s">
        <v>237</v>
      </c>
      <c r="K22" s="511">
        <f>G14*800</f>
        <v>400000</v>
      </c>
      <c r="O22" s="190"/>
    </row>
    <row r="23" spans="1:15" ht="30" customHeight="1" x14ac:dyDescent="0.25">
      <c r="A23" s="523" t="s">
        <v>301</v>
      </c>
      <c r="B23" s="1016">
        <f>(B17-J19*G14)/(B21+B22)</f>
        <v>2.265185235522635</v>
      </c>
      <c r="C23" s="1016"/>
      <c r="D23" s="1016"/>
      <c r="E23" s="1016"/>
      <c r="G23" s="1108"/>
      <c r="H23" s="1108"/>
      <c r="I23" s="75"/>
      <c r="J23" s="511" t="s">
        <v>237</v>
      </c>
      <c r="K23" s="511">
        <f>G14*100</f>
        <v>50000</v>
      </c>
      <c r="O23" s="190"/>
    </row>
    <row r="24" spans="1:15" ht="30" customHeight="1" x14ac:dyDescent="0.25">
      <c r="A24" s="523" t="s">
        <v>302</v>
      </c>
      <c r="B24" s="1048">
        <f>(B17-(J19*G14)-B18)/(B21+B22)</f>
        <v>2.265185235522635</v>
      </c>
      <c r="C24" s="1048"/>
      <c r="D24" s="1048"/>
      <c r="E24" s="1048"/>
      <c r="G24" s="190"/>
      <c r="H24" s="190"/>
      <c r="I24" s="190"/>
      <c r="J24" s="190"/>
      <c r="O24" s="190"/>
    </row>
    <row r="25" spans="1:15" ht="30" customHeight="1" x14ac:dyDescent="0.25">
      <c r="A25" s="100" t="s">
        <v>305</v>
      </c>
      <c r="B25" s="1070">
        <f>G14*H14*I14/I15/100*L14-G14*H14*I14/I15/100*M14</f>
        <v>304.37850000000003</v>
      </c>
      <c r="C25" s="1070"/>
      <c r="D25" s="1070"/>
      <c r="E25" s="1070"/>
      <c r="G25" s="1109" t="s">
        <v>233</v>
      </c>
      <c r="H25" s="1109"/>
      <c r="I25" s="521">
        <f>H14*I14/I15*10*G14</f>
        <v>4647000</v>
      </c>
      <c r="J25" s="511" t="s">
        <v>234</v>
      </c>
      <c r="O25" s="190"/>
    </row>
    <row r="26" spans="1:15" ht="30" customHeight="1" x14ac:dyDescent="0.25">
      <c r="A26" s="101" t="s">
        <v>303</v>
      </c>
      <c r="B26" s="1021">
        <f>B25/'Objectifs CO2'!C10</f>
        <v>9.3589906221296981E-2</v>
      </c>
      <c r="C26" s="1021"/>
      <c r="D26" s="1021"/>
      <c r="E26" s="1021"/>
      <c r="G26" s="1109" t="s">
        <v>235</v>
      </c>
      <c r="H26" s="1109"/>
      <c r="I26" s="76" t="e">
        <f>I25*#REF!</f>
        <v>#REF!</v>
      </c>
      <c r="J26" s="511" t="s">
        <v>234</v>
      </c>
      <c r="O26" s="190"/>
    </row>
    <row r="27" spans="1:15" ht="30" customHeight="1" x14ac:dyDescent="0.25">
      <c r="A27" s="101" t="s">
        <v>304</v>
      </c>
      <c r="B27" s="1044">
        <f>B25/'Objectifs CO2'!C4</f>
        <v>1.4038485933194548E-2</v>
      </c>
      <c r="C27" s="1045"/>
      <c r="D27" s="1045"/>
      <c r="E27" s="1045"/>
      <c r="G27" s="1109" t="s">
        <v>236</v>
      </c>
      <c r="H27" s="1109"/>
      <c r="I27" s="76" t="e">
        <f>I26</f>
        <v>#REF!</v>
      </c>
      <c r="J27" s="511" t="s">
        <v>234</v>
      </c>
      <c r="O27" s="190"/>
    </row>
    <row r="28" spans="1:15" ht="30" customHeight="1" x14ac:dyDescent="0.25">
      <c r="A28" s="101" t="s">
        <v>22</v>
      </c>
      <c r="B28" s="1010"/>
      <c r="C28" s="1010"/>
      <c r="D28" s="1010"/>
      <c r="E28" s="1010"/>
      <c r="G28" s="1109" t="s">
        <v>203</v>
      </c>
      <c r="H28" s="1109"/>
      <c r="I28" s="76" t="e">
        <f>I27/N14</f>
        <v>#REF!</v>
      </c>
      <c r="J28" s="511" t="s">
        <v>234</v>
      </c>
      <c r="O28" s="190"/>
    </row>
    <row r="29" spans="1:15" ht="30" customHeight="1" x14ac:dyDescent="0.25">
      <c r="A29" s="101" t="s">
        <v>257</v>
      </c>
      <c r="B29" s="999"/>
      <c r="C29" s="999"/>
      <c r="D29" s="999"/>
      <c r="E29" s="999"/>
    </row>
    <row r="31" spans="1:15" x14ac:dyDescent="0.25">
      <c r="A31" s="603" t="s">
        <v>1065</v>
      </c>
      <c r="B31" s="1003" t="s">
        <v>675</v>
      </c>
      <c r="C31" s="1003"/>
      <c r="D31" s="1003"/>
      <c r="E31" s="511"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19"/>
      <c r="E43" s="94" t="s">
        <v>730</v>
      </c>
    </row>
    <row r="44" spans="1:12" x14ac:dyDescent="0.25">
      <c r="A44" s="519"/>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Z8:AA8"/>
    <mergeCell ref="B9:E9"/>
    <mergeCell ref="Z9:AA9"/>
    <mergeCell ref="B10:E10"/>
    <mergeCell ref="Z10:AA10"/>
    <mergeCell ref="B11:E11"/>
    <mergeCell ref="Z11:AA11"/>
    <mergeCell ref="B12:E12"/>
    <mergeCell ref="Z12:AA12"/>
    <mergeCell ref="B16:E16"/>
    <mergeCell ref="Z16:AA16"/>
    <mergeCell ref="B17:E17"/>
    <mergeCell ref="B18:E18"/>
    <mergeCell ref="B13:E13"/>
    <mergeCell ref="Z13:AA13"/>
    <mergeCell ref="B14:E14"/>
    <mergeCell ref="Z14:AA14"/>
    <mergeCell ref="B15:E15"/>
    <mergeCell ref="Z15:AA15"/>
    <mergeCell ref="B19:E19"/>
    <mergeCell ref="B20:E20"/>
    <mergeCell ref="B27:E27"/>
    <mergeCell ref="G27:H27"/>
    <mergeCell ref="B28:E28"/>
    <mergeCell ref="G28:H28"/>
    <mergeCell ref="B36:D36"/>
    <mergeCell ref="B21:E21"/>
    <mergeCell ref="B22:E22"/>
    <mergeCell ref="G22:H22"/>
    <mergeCell ref="B23:E23"/>
    <mergeCell ref="G23:H23"/>
    <mergeCell ref="B24:E24"/>
    <mergeCell ref="B25:E25"/>
    <mergeCell ref="G25:H25"/>
    <mergeCell ref="G32:I32"/>
    <mergeCell ref="B37:D37"/>
    <mergeCell ref="B29:E29"/>
    <mergeCell ref="B31:D31"/>
    <mergeCell ref="B32:D32"/>
    <mergeCell ref="B44:D44"/>
    <mergeCell ref="H17:I18"/>
    <mergeCell ref="J17:K18"/>
    <mergeCell ref="H19:I20"/>
    <mergeCell ref="J19:K20"/>
    <mergeCell ref="K21:L21"/>
    <mergeCell ref="B38:D38"/>
    <mergeCell ref="B39:D39"/>
    <mergeCell ref="B40:D40"/>
    <mergeCell ref="G40:I40"/>
    <mergeCell ref="B41:D41"/>
    <mergeCell ref="B42:D42"/>
    <mergeCell ref="B34:D34"/>
    <mergeCell ref="H34:I34"/>
    <mergeCell ref="B35:D35"/>
    <mergeCell ref="H35:I35"/>
    <mergeCell ref="B33:D33"/>
    <mergeCell ref="H33:I33"/>
    <mergeCell ref="B26:E26"/>
    <mergeCell ref="G26:H26"/>
  </mergeCells>
  <conditionalFormatting sqref="B5">
    <cfRule type="containsText" dxfId="152" priority="1" operator="containsText" text="Terminé">
      <formula>NOT(ISERROR(SEARCH("Terminé",B5)))</formula>
    </cfRule>
    <cfRule type="containsText" dxfId="151" priority="2" operator="containsText" text="En cours">
      <formula>NOT(ISERROR(SEARCH("En cours",B5)))</formula>
    </cfRule>
    <cfRule type="containsText" dxfId="15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2"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921</v>
      </c>
      <c r="C2" s="1068"/>
      <c r="D2" s="1068"/>
      <c r="E2" s="1068"/>
      <c r="F2" s="7"/>
      <c r="G2" s="986" t="s">
        <v>751</v>
      </c>
      <c r="H2" s="986"/>
    </row>
    <row r="3" spans="1:28" ht="19.5" customHeight="1" x14ac:dyDescent="0.25">
      <c r="A3" s="514" t="s">
        <v>743</v>
      </c>
      <c r="B3" s="987" t="s">
        <v>746</v>
      </c>
      <c r="C3" s="987"/>
      <c r="D3" s="987"/>
      <c r="E3" s="987"/>
      <c r="F3" s="7"/>
      <c r="G3" s="986" t="s">
        <v>752</v>
      </c>
      <c r="H3" s="986"/>
    </row>
    <row r="4" spans="1:28" ht="19.5" customHeight="1" x14ac:dyDescent="0.25">
      <c r="A4" s="515" t="s">
        <v>292</v>
      </c>
      <c r="B4" s="996" t="s">
        <v>34</v>
      </c>
      <c r="C4" s="996"/>
      <c r="D4" s="996"/>
      <c r="E4" s="996"/>
      <c r="F4" s="7"/>
      <c r="G4" s="986" t="s">
        <v>753</v>
      </c>
      <c r="H4" s="986"/>
    </row>
    <row r="5" spans="1:28" ht="19.5" customHeight="1" x14ac:dyDescent="0.25">
      <c r="A5" s="515"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516"/>
      <c r="AA7" s="517"/>
      <c r="AB7" s="357"/>
    </row>
    <row r="8" spans="1:28" ht="24" customHeight="1" x14ac:dyDescent="0.25">
      <c r="A8" s="523" t="s">
        <v>1</v>
      </c>
      <c r="B8" s="967" t="s">
        <v>731</v>
      </c>
      <c r="C8" s="967"/>
      <c r="D8" s="967"/>
      <c r="E8" s="967"/>
      <c r="Z8" s="1028" t="s">
        <v>611</v>
      </c>
      <c r="AA8" s="1029"/>
      <c r="AB8" s="357">
        <v>0.26819999999999999</v>
      </c>
    </row>
    <row r="9" spans="1:28" ht="24" customHeight="1" x14ac:dyDescent="0.25">
      <c r="A9" s="523" t="s">
        <v>0</v>
      </c>
      <c r="B9" s="1111" t="s">
        <v>920</v>
      </c>
      <c r="C9" s="1112"/>
      <c r="D9" s="1112"/>
      <c r="E9" s="1113"/>
      <c r="Z9" s="1028" t="s">
        <v>612</v>
      </c>
      <c r="AA9" s="1029"/>
      <c r="AB9" s="357">
        <v>3.1300000000000001E-2</v>
      </c>
    </row>
    <row r="10" spans="1:28" ht="15.75" customHeight="1" x14ac:dyDescent="0.25">
      <c r="A10" s="523" t="s">
        <v>2</v>
      </c>
      <c r="B10" s="1034"/>
      <c r="C10" s="1035"/>
      <c r="D10" s="1035"/>
      <c r="E10" s="1035"/>
      <c r="Z10" s="1028"/>
      <c r="AA10" s="1029"/>
      <c r="AB10" s="357"/>
    </row>
    <row r="11" spans="1:28" ht="15.75" x14ac:dyDescent="0.25">
      <c r="A11" s="523" t="s">
        <v>29</v>
      </c>
      <c r="B11" s="1034"/>
      <c r="C11" s="1035"/>
      <c r="D11" s="1035"/>
      <c r="E11" s="1035"/>
      <c r="Z11" s="1028" t="s">
        <v>613</v>
      </c>
      <c r="AA11" s="1029"/>
      <c r="AB11" s="357">
        <v>0.26819999999999999</v>
      </c>
    </row>
    <row r="12" spans="1:28" ht="30" customHeight="1" x14ac:dyDescent="0.25">
      <c r="A12" s="523" t="s">
        <v>14</v>
      </c>
      <c r="B12" s="1010" t="s">
        <v>339</v>
      </c>
      <c r="C12" s="1010"/>
      <c r="D12" s="1010"/>
      <c r="E12" s="1010"/>
      <c r="G12" s="190"/>
      <c r="Z12" s="1028" t="s">
        <v>614</v>
      </c>
      <c r="AA12" s="1029"/>
      <c r="AB12" s="357">
        <v>1.18E-2</v>
      </c>
    </row>
    <row r="13" spans="1:28" ht="30" customHeight="1" x14ac:dyDescent="0.25">
      <c r="A13" s="523" t="s">
        <v>3</v>
      </c>
      <c r="B13" s="1010" t="s">
        <v>924</v>
      </c>
      <c r="C13" s="1010"/>
      <c r="D13" s="1010"/>
      <c r="E13" s="1010"/>
      <c r="G13" s="59"/>
      <c r="H13" s="60" t="s">
        <v>226</v>
      </c>
      <c r="I13" s="60" t="s">
        <v>109</v>
      </c>
      <c r="J13" s="60" t="s">
        <v>227</v>
      </c>
      <c r="K13" s="60" t="s">
        <v>911</v>
      </c>
      <c r="L13" s="60" t="s">
        <v>150</v>
      </c>
      <c r="M13" s="60" t="s">
        <v>912</v>
      </c>
      <c r="N13" s="60"/>
      <c r="Z13" s="1028" t="s">
        <v>615</v>
      </c>
      <c r="AA13" s="1029"/>
      <c r="AB13" s="358">
        <f>AB15/0.55</f>
        <v>0.50363636363636366</v>
      </c>
    </row>
    <row r="14" spans="1:28" ht="30" customHeight="1" x14ac:dyDescent="0.25">
      <c r="A14" s="523" t="s">
        <v>15</v>
      </c>
      <c r="B14" s="1010" t="s">
        <v>339</v>
      </c>
      <c r="C14" s="1010"/>
      <c r="D14" s="1010"/>
      <c r="E14" s="1010"/>
      <c r="G14" s="526"/>
      <c r="H14" s="522">
        <v>15490</v>
      </c>
      <c r="I14" s="522">
        <v>6</v>
      </c>
      <c r="J14" s="522">
        <v>1.6</v>
      </c>
      <c r="K14" s="522">
        <v>0.65</v>
      </c>
      <c r="L14" s="522">
        <f>AB8</f>
        <v>0.26819999999999999</v>
      </c>
      <c r="M14" s="522">
        <f>AB16</f>
        <v>0.20269999999999999</v>
      </c>
      <c r="N14" s="522"/>
      <c r="Z14" s="1028" t="s">
        <v>616</v>
      </c>
      <c r="AA14" s="1029"/>
      <c r="AB14" s="357">
        <v>0.26819999999999999</v>
      </c>
    </row>
    <row r="15" spans="1:28" ht="30" customHeight="1" x14ac:dyDescent="0.25">
      <c r="A15" s="523" t="s">
        <v>4</v>
      </c>
      <c r="B15" s="1010">
        <v>2022</v>
      </c>
      <c r="C15" s="1010"/>
      <c r="D15" s="1010"/>
      <c r="E15" s="1010"/>
      <c r="G15" s="190"/>
      <c r="H15" s="190"/>
      <c r="I15" s="522">
        <v>100</v>
      </c>
      <c r="J15" s="190"/>
      <c r="K15" s="190"/>
      <c r="L15" s="190"/>
      <c r="M15" s="190"/>
      <c r="N15" s="190"/>
      <c r="O15" s="190"/>
      <c r="Z15" s="1028" t="s">
        <v>578</v>
      </c>
      <c r="AA15" s="1029"/>
      <c r="AB15" s="357">
        <v>0.27700000000000002</v>
      </c>
    </row>
    <row r="16" spans="1:28" ht="30" customHeight="1" x14ac:dyDescent="0.25">
      <c r="A16" s="523" t="s">
        <v>5</v>
      </c>
      <c r="B16" s="1010">
        <v>2022</v>
      </c>
      <c r="C16" s="1010"/>
      <c r="D16" s="1010"/>
      <c r="E16" s="1010"/>
      <c r="O16" s="190"/>
      <c r="Z16" s="1028" t="s">
        <v>579</v>
      </c>
      <c r="AA16" s="1029"/>
      <c r="AB16" s="357">
        <v>0.20269999999999999</v>
      </c>
    </row>
    <row r="17" spans="1:15" ht="30" customHeight="1" x14ac:dyDescent="0.25">
      <c r="A17" s="523" t="s">
        <v>6</v>
      </c>
      <c r="B17" s="1000">
        <v>330000</v>
      </c>
      <c r="C17" s="1000"/>
      <c r="D17" s="1000"/>
      <c r="E17" s="1000"/>
      <c r="H17" s="1107" t="s">
        <v>913</v>
      </c>
      <c r="I17" s="1107"/>
      <c r="J17" s="1107" t="s">
        <v>914</v>
      </c>
      <c r="K17" s="1107"/>
      <c r="O17" s="190"/>
    </row>
    <row r="18" spans="1:15" ht="30" customHeight="1" x14ac:dyDescent="0.25">
      <c r="A18" s="523" t="s">
        <v>7</v>
      </c>
      <c r="B18" s="1000">
        <v>0</v>
      </c>
      <c r="C18" s="1000"/>
      <c r="D18" s="1000"/>
      <c r="E18" s="1000"/>
      <c r="G18" s="190"/>
      <c r="H18" s="1107"/>
      <c r="I18" s="1107"/>
      <c r="J18" s="1107"/>
      <c r="K18" s="1107"/>
      <c r="L18" s="212"/>
      <c r="O18" s="190"/>
    </row>
    <row r="19" spans="1:15" ht="30" customHeight="1" x14ac:dyDescent="0.25">
      <c r="A19" s="99" t="s">
        <v>307</v>
      </c>
      <c r="B19" s="1039">
        <v>0</v>
      </c>
      <c r="C19" s="1040"/>
      <c r="D19" s="1040"/>
      <c r="E19" s="1040"/>
      <c r="G19" s="190"/>
      <c r="H19" s="1107">
        <v>22000</v>
      </c>
      <c r="I19" s="1107"/>
      <c r="J19" s="1107">
        <v>20000</v>
      </c>
      <c r="K19" s="1107"/>
      <c r="L19" s="212"/>
      <c r="O19" s="190"/>
    </row>
    <row r="20" spans="1:15" ht="30" customHeight="1" x14ac:dyDescent="0.25">
      <c r="A20" s="96" t="s">
        <v>306</v>
      </c>
      <c r="B20" s="1041"/>
      <c r="C20" s="1042"/>
      <c r="D20" s="1042"/>
      <c r="E20" s="1042"/>
      <c r="G20" s="190"/>
      <c r="H20" s="1107"/>
      <c r="I20" s="1107"/>
      <c r="J20" s="1107"/>
      <c r="K20" s="1107"/>
      <c r="L20" s="212"/>
      <c r="O20" s="190"/>
    </row>
    <row r="21" spans="1:15" ht="30" customHeight="1" x14ac:dyDescent="0.25">
      <c r="A21" s="523" t="s">
        <v>8</v>
      </c>
      <c r="B21" s="1000"/>
      <c r="C21" s="1000"/>
      <c r="D21" s="1000"/>
      <c r="E21" s="1000"/>
      <c r="G21" s="190"/>
      <c r="H21" s="190"/>
      <c r="I21" s="190"/>
      <c r="J21" s="190"/>
      <c r="K21" s="1110"/>
      <c r="L21" s="1110"/>
      <c r="O21" s="190"/>
    </row>
    <row r="22" spans="1:15" ht="30" customHeight="1" x14ac:dyDescent="0.25">
      <c r="A22" s="523" t="s">
        <v>9</v>
      </c>
      <c r="B22" s="1000">
        <v>0</v>
      </c>
      <c r="C22" s="1000"/>
      <c r="D22" s="1000"/>
      <c r="E22" s="1000"/>
      <c r="G22" s="1108" t="s">
        <v>231</v>
      </c>
      <c r="H22" s="1108"/>
      <c r="I22" s="75">
        <f>B19/10*J14+K22</f>
        <v>0</v>
      </c>
      <c r="J22" s="511" t="s">
        <v>237</v>
      </c>
      <c r="K22" s="511">
        <f>G14*800</f>
        <v>0</v>
      </c>
      <c r="O22" s="190"/>
    </row>
    <row r="23" spans="1:15" ht="30" customHeight="1" x14ac:dyDescent="0.25">
      <c r="A23" s="523" t="s">
        <v>301</v>
      </c>
      <c r="B23" s="1016" t="e">
        <f>(B17-J19*G14)/(B21+B22)</f>
        <v>#DIV/0!</v>
      </c>
      <c r="C23" s="1016"/>
      <c r="D23" s="1016"/>
      <c r="E23" s="1016"/>
      <c r="G23" s="1108"/>
      <c r="H23" s="1108"/>
      <c r="I23" s="75"/>
      <c r="J23" s="511" t="s">
        <v>237</v>
      </c>
      <c r="K23" s="511">
        <f>G14*100</f>
        <v>0</v>
      </c>
      <c r="O23" s="190"/>
    </row>
    <row r="24" spans="1:15" ht="30" customHeight="1" x14ac:dyDescent="0.25">
      <c r="A24" s="523" t="s">
        <v>302</v>
      </c>
      <c r="B24" s="1048" t="e">
        <f>(B17-(J19*G14)-B18)/(B21+B22)</f>
        <v>#DIV/0!</v>
      </c>
      <c r="C24" s="1048"/>
      <c r="D24" s="1048"/>
      <c r="E24" s="1048"/>
      <c r="G24" s="190"/>
      <c r="H24" s="190"/>
      <c r="I24" s="190"/>
      <c r="J24" s="190"/>
      <c r="O24" s="190"/>
    </row>
    <row r="25" spans="1:15" ht="30" customHeight="1" x14ac:dyDescent="0.25">
      <c r="A25" s="100" t="s">
        <v>305</v>
      </c>
      <c r="B25" s="1070"/>
      <c r="C25" s="1070"/>
      <c r="D25" s="1070"/>
      <c r="E25" s="1070"/>
      <c r="G25" s="1109" t="s">
        <v>233</v>
      </c>
      <c r="H25" s="1109"/>
      <c r="I25" s="521">
        <f>H14*I14/I15*10*G14</f>
        <v>0</v>
      </c>
      <c r="J25" s="511" t="s">
        <v>234</v>
      </c>
      <c r="O25" s="190"/>
    </row>
    <row r="26" spans="1:15" ht="30" customHeight="1" x14ac:dyDescent="0.25">
      <c r="A26" s="101" t="s">
        <v>303</v>
      </c>
      <c r="B26" s="1021">
        <f>B25/'Objectifs CO2'!C10</f>
        <v>0</v>
      </c>
      <c r="C26" s="1021"/>
      <c r="D26" s="1021"/>
      <c r="E26" s="1021"/>
      <c r="G26" s="1109" t="s">
        <v>235</v>
      </c>
      <c r="H26" s="1109"/>
      <c r="I26" s="76" t="e">
        <f>I25*#REF!</f>
        <v>#REF!</v>
      </c>
      <c r="J26" s="511" t="s">
        <v>234</v>
      </c>
      <c r="O26" s="190"/>
    </row>
    <row r="27" spans="1:15" ht="30" customHeight="1" x14ac:dyDescent="0.25">
      <c r="A27" s="101" t="s">
        <v>304</v>
      </c>
      <c r="B27" s="1044">
        <f>B25/'Objectifs CO2'!C4</f>
        <v>0</v>
      </c>
      <c r="C27" s="1045"/>
      <c r="D27" s="1045"/>
      <c r="E27" s="1045"/>
      <c r="G27" s="1109" t="s">
        <v>236</v>
      </c>
      <c r="H27" s="1109"/>
      <c r="I27" s="76" t="e">
        <f>I26</f>
        <v>#REF!</v>
      </c>
      <c r="J27" s="511" t="s">
        <v>234</v>
      </c>
      <c r="O27" s="190"/>
    </row>
    <row r="28" spans="1:15" ht="30" customHeight="1" x14ac:dyDescent="0.25">
      <c r="A28" s="101" t="s">
        <v>22</v>
      </c>
      <c r="B28" s="1010"/>
      <c r="C28" s="1010"/>
      <c r="D28" s="1010"/>
      <c r="E28" s="1010"/>
      <c r="G28" s="1109" t="s">
        <v>203</v>
      </c>
      <c r="H28" s="1109"/>
      <c r="I28" s="76" t="e">
        <f>I27/N14</f>
        <v>#REF!</v>
      </c>
      <c r="J28" s="511" t="s">
        <v>234</v>
      </c>
      <c r="O28" s="190"/>
    </row>
    <row r="29" spans="1:15" ht="30" customHeight="1" x14ac:dyDescent="0.25">
      <c r="A29" s="101" t="s">
        <v>257</v>
      </c>
      <c r="B29" s="999"/>
      <c r="C29" s="999"/>
      <c r="D29" s="999"/>
      <c r="E29" s="999"/>
    </row>
    <row r="31" spans="1:15" x14ac:dyDescent="0.25">
      <c r="A31" s="603" t="s">
        <v>1065</v>
      </c>
      <c r="B31" s="1003" t="s">
        <v>675</v>
      </c>
      <c r="C31" s="1003"/>
      <c r="D31" s="1003"/>
      <c r="E31" s="511"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19"/>
      <c r="E43" s="94" t="s">
        <v>730</v>
      </c>
    </row>
    <row r="44" spans="1:12" x14ac:dyDescent="0.25">
      <c r="A44" s="519"/>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Z8:AA8"/>
    <mergeCell ref="B9:E9"/>
    <mergeCell ref="Z9:AA9"/>
    <mergeCell ref="B10:E10"/>
    <mergeCell ref="Z10:AA10"/>
    <mergeCell ref="B11:E11"/>
    <mergeCell ref="Z11:AA11"/>
    <mergeCell ref="B12:E12"/>
    <mergeCell ref="Z12:AA12"/>
    <mergeCell ref="B13:E13"/>
    <mergeCell ref="Z13:AA13"/>
    <mergeCell ref="B14:E14"/>
    <mergeCell ref="Z14:AA14"/>
    <mergeCell ref="B36:D36"/>
    <mergeCell ref="B15:E15"/>
    <mergeCell ref="Z15:AA15"/>
    <mergeCell ref="B16:E16"/>
    <mergeCell ref="Z16:AA16"/>
    <mergeCell ref="B17:E17"/>
    <mergeCell ref="H17:I18"/>
    <mergeCell ref="J17:K18"/>
    <mergeCell ref="B18:E18"/>
    <mergeCell ref="B25:E25"/>
    <mergeCell ref="G25:H25"/>
    <mergeCell ref="B19:E19"/>
    <mergeCell ref="H19:I20"/>
    <mergeCell ref="J19:K20"/>
    <mergeCell ref="B20:E20"/>
    <mergeCell ref="B21:E21"/>
    <mergeCell ref="K21:L21"/>
    <mergeCell ref="B22:E22"/>
    <mergeCell ref="G22:H22"/>
    <mergeCell ref="B23:E23"/>
    <mergeCell ref="G23:H23"/>
    <mergeCell ref="B24:E24"/>
    <mergeCell ref="B44:D44"/>
    <mergeCell ref="B38:D38"/>
    <mergeCell ref="B39:D39"/>
    <mergeCell ref="B40:D40"/>
    <mergeCell ref="G40:I40"/>
    <mergeCell ref="B41:D41"/>
    <mergeCell ref="B42:D42"/>
    <mergeCell ref="B26:E26"/>
    <mergeCell ref="G26:H26"/>
    <mergeCell ref="B27:E27"/>
    <mergeCell ref="G27:H27"/>
    <mergeCell ref="B28:E28"/>
    <mergeCell ref="G28:H28"/>
    <mergeCell ref="B37:D37"/>
    <mergeCell ref="B29:E29"/>
    <mergeCell ref="B31:D31"/>
    <mergeCell ref="B32:D32"/>
    <mergeCell ref="G32:I32"/>
    <mergeCell ref="B33:D33"/>
    <mergeCell ref="H33:I33"/>
    <mergeCell ref="B34:D34"/>
    <mergeCell ref="H34:I34"/>
    <mergeCell ref="B35:D35"/>
    <mergeCell ref="H35:I35"/>
  </mergeCells>
  <conditionalFormatting sqref="B5">
    <cfRule type="containsText" dxfId="149" priority="1" operator="containsText" text="Terminé">
      <formula>NOT(ISERROR(SEARCH("Terminé",B5)))</formula>
    </cfRule>
    <cfRule type="containsText" dxfId="148" priority="2" operator="containsText" text="En cours">
      <formula>NOT(ISERROR(SEARCH("En cours",B5)))</formula>
    </cfRule>
    <cfRule type="containsText" dxfId="14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2"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251</v>
      </c>
      <c r="C2" s="1068"/>
      <c r="D2" s="1068"/>
      <c r="E2" s="1068"/>
      <c r="F2" s="7"/>
      <c r="G2" s="986" t="s">
        <v>751</v>
      </c>
      <c r="H2" s="986"/>
    </row>
    <row r="3" spans="1:28" ht="19.5" customHeight="1" x14ac:dyDescent="0.25">
      <c r="A3" s="566" t="s">
        <v>743</v>
      </c>
      <c r="B3" s="987" t="s">
        <v>746</v>
      </c>
      <c r="C3" s="987"/>
      <c r="D3" s="987"/>
      <c r="E3" s="987"/>
      <c r="F3" s="7"/>
      <c r="G3" s="986" t="s">
        <v>752</v>
      </c>
      <c r="H3" s="986"/>
    </row>
    <row r="4" spans="1:28" ht="19.5" customHeight="1" x14ac:dyDescent="0.25">
      <c r="A4" s="567" t="s">
        <v>292</v>
      </c>
      <c r="B4" s="996" t="s">
        <v>34</v>
      </c>
      <c r="C4" s="996"/>
      <c r="D4" s="996"/>
      <c r="E4" s="996"/>
      <c r="F4" s="7"/>
      <c r="G4" s="986" t="s">
        <v>753</v>
      </c>
      <c r="H4" s="986"/>
    </row>
    <row r="5" spans="1:28" ht="19.5" customHeight="1" x14ac:dyDescent="0.25">
      <c r="A5" s="567" t="s">
        <v>16</v>
      </c>
      <c r="B5" s="1015" t="s">
        <v>17</v>
      </c>
      <c r="C5" s="1015"/>
      <c r="D5" s="1015"/>
      <c r="E5" s="1015"/>
      <c r="F5" s="7"/>
      <c r="G5" s="986" t="s">
        <v>754</v>
      </c>
      <c r="H5" s="986"/>
      <c r="Z5" s="1023" t="s">
        <v>609</v>
      </c>
      <c r="AA5" s="1024"/>
      <c r="AB5" s="1025"/>
    </row>
    <row r="6" spans="1:28" ht="19.5" customHeight="1" x14ac:dyDescent="0.25">
      <c r="A6" s="413" t="s">
        <v>474</v>
      </c>
      <c r="B6" s="993" t="s">
        <v>608</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569"/>
      <c r="AA7" s="570"/>
      <c r="AB7" s="357"/>
    </row>
    <row r="8" spans="1:28" ht="24" customHeight="1" x14ac:dyDescent="0.25">
      <c r="A8" s="574" t="s">
        <v>1</v>
      </c>
      <c r="B8" s="967" t="s">
        <v>32</v>
      </c>
      <c r="C8" s="967"/>
      <c r="D8" s="967"/>
      <c r="E8" s="967"/>
      <c r="Z8" s="1028" t="s">
        <v>611</v>
      </c>
      <c r="AA8" s="1029"/>
      <c r="AB8" s="357">
        <v>0.26819999999999999</v>
      </c>
    </row>
    <row r="9" spans="1:28" ht="24" customHeight="1" x14ac:dyDescent="0.25">
      <c r="A9" s="574" t="s">
        <v>0</v>
      </c>
      <c r="B9" s="1111" t="s">
        <v>993</v>
      </c>
      <c r="C9" s="1112"/>
      <c r="D9" s="1112"/>
      <c r="E9" s="1113"/>
      <c r="Z9" s="1028" t="s">
        <v>612</v>
      </c>
      <c r="AA9" s="1029"/>
      <c r="AB9" s="357">
        <v>3.1300000000000001E-2</v>
      </c>
    </row>
    <row r="10" spans="1:28" ht="69.75" customHeight="1" x14ac:dyDescent="0.25">
      <c r="A10" s="574" t="s">
        <v>2</v>
      </c>
      <c r="B10" s="1034" t="s">
        <v>994</v>
      </c>
      <c r="C10" s="1035"/>
      <c r="D10" s="1035"/>
      <c r="E10" s="1035"/>
      <c r="G10" s="255" t="s">
        <v>995</v>
      </c>
      <c r="H10" s="573" t="s">
        <v>188</v>
      </c>
      <c r="I10" s="573" t="s">
        <v>1012</v>
      </c>
      <c r="J10" s="585" t="s">
        <v>1013</v>
      </c>
      <c r="K10" s="585" t="s">
        <v>1014</v>
      </c>
      <c r="L10" s="573" t="s">
        <v>296</v>
      </c>
      <c r="M10" s="585" t="s">
        <v>1015</v>
      </c>
      <c r="Z10" s="1028"/>
      <c r="AA10" s="1029"/>
      <c r="AB10" s="357"/>
    </row>
    <row r="11" spans="1:28" ht="15.75" x14ac:dyDescent="0.25">
      <c r="A11" s="574" t="s">
        <v>29</v>
      </c>
      <c r="B11" s="1034"/>
      <c r="C11" s="1035"/>
      <c r="D11" s="1035"/>
      <c r="E11" s="1035"/>
      <c r="G11" s="563">
        <v>100</v>
      </c>
      <c r="H11" s="571">
        <v>20</v>
      </c>
      <c r="I11" s="571">
        <v>2</v>
      </c>
      <c r="J11" s="583">
        <v>5</v>
      </c>
      <c r="K11" s="583">
        <v>4</v>
      </c>
      <c r="L11" s="571">
        <f>AB8</f>
        <v>0.26819999999999999</v>
      </c>
      <c r="M11" s="583">
        <v>1.6</v>
      </c>
      <c r="Z11" s="1028" t="s">
        <v>613</v>
      </c>
      <c r="AA11" s="1029"/>
      <c r="AB11" s="357">
        <v>0.26819999999999999</v>
      </c>
    </row>
    <row r="12" spans="1:28" ht="30" customHeight="1" x14ac:dyDescent="0.25">
      <c r="A12" s="574" t="s">
        <v>14</v>
      </c>
      <c r="B12" s="1010" t="s">
        <v>607</v>
      </c>
      <c r="C12" s="1010"/>
      <c r="D12" s="1010"/>
      <c r="E12" s="1010"/>
      <c r="G12" s="190"/>
      <c r="Z12" s="1028" t="s">
        <v>614</v>
      </c>
      <c r="AA12" s="1029"/>
      <c r="AB12" s="357">
        <v>1.18E-2</v>
      </c>
    </row>
    <row r="13" spans="1:28" ht="30" customHeight="1" x14ac:dyDescent="0.25">
      <c r="A13" s="574" t="s">
        <v>3</v>
      </c>
      <c r="B13" s="1010"/>
      <c r="C13" s="1010"/>
      <c r="D13" s="1010"/>
      <c r="E13" s="1010"/>
      <c r="G13" s="190"/>
      <c r="Z13" s="1028" t="s">
        <v>615</v>
      </c>
      <c r="AA13" s="1029"/>
      <c r="AB13" s="358">
        <f>AB15/0.55</f>
        <v>0.50363636363636366</v>
      </c>
    </row>
    <row r="14" spans="1:28" ht="30" customHeight="1" x14ac:dyDescent="0.25">
      <c r="A14" s="574" t="s">
        <v>15</v>
      </c>
      <c r="B14" s="1010"/>
      <c r="C14" s="1010"/>
      <c r="D14" s="1010"/>
      <c r="E14" s="1010"/>
      <c r="G14" s="190"/>
      <c r="Z14" s="1028" t="s">
        <v>616</v>
      </c>
      <c r="AA14" s="1029"/>
      <c r="AB14" s="357">
        <v>0.26819999999999999</v>
      </c>
    </row>
    <row r="15" spans="1:28" ht="30" customHeight="1" x14ac:dyDescent="0.25">
      <c r="A15" s="574" t="s">
        <v>4</v>
      </c>
      <c r="B15" s="1010">
        <v>2019</v>
      </c>
      <c r="C15" s="1010"/>
      <c r="D15" s="1010"/>
      <c r="E15" s="1010"/>
      <c r="G15" s="190"/>
      <c r="O15" s="190"/>
      <c r="Z15" s="1028" t="s">
        <v>578</v>
      </c>
      <c r="AA15" s="1029"/>
      <c r="AB15" s="357">
        <v>0.27700000000000002</v>
      </c>
    </row>
    <row r="16" spans="1:28" ht="30" customHeight="1" x14ac:dyDescent="0.25">
      <c r="A16" s="574" t="s">
        <v>5</v>
      </c>
      <c r="B16" s="1010">
        <v>2030</v>
      </c>
      <c r="C16" s="1010"/>
      <c r="D16" s="1010"/>
      <c r="E16" s="1010"/>
      <c r="G16" s="190"/>
      <c r="O16" s="190"/>
      <c r="Z16" s="1028" t="s">
        <v>579</v>
      </c>
      <c r="AA16" s="1029"/>
      <c r="AB16" s="357">
        <v>0.20269999999999999</v>
      </c>
    </row>
    <row r="17" spans="1:15" ht="30" customHeight="1" x14ac:dyDescent="0.25">
      <c r="A17" s="574" t="s">
        <v>6</v>
      </c>
      <c r="B17" s="1000">
        <v>0</v>
      </c>
      <c r="C17" s="1000"/>
      <c r="D17" s="1000"/>
      <c r="E17" s="1000"/>
      <c r="G17" s="190"/>
      <c r="O17" s="190"/>
    </row>
    <row r="18" spans="1:15" ht="30" customHeight="1" x14ac:dyDescent="0.25">
      <c r="A18" s="574" t="s">
        <v>7</v>
      </c>
      <c r="B18" s="1000">
        <v>0</v>
      </c>
      <c r="C18" s="1000"/>
      <c r="D18" s="1000"/>
      <c r="E18" s="1000"/>
      <c r="G18" s="190"/>
      <c r="O18" s="190"/>
    </row>
    <row r="19" spans="1:15" ht="30" customHeight="1" x14ac:dyDescent="0.25">
      <c r="A19" s="99" t="s">
        <v>307</v>
      </c>
      <c r="B19" s="1039">
        <f>H11*J11*K11*10</f>
        <v>4000</v>
      </c>
      <c r="C19" s="1040"/>
      <c r="D19" s="1040"/>
      <c r="E19" s="1040"/>
      <c r="G19" s="190"/>
      <c r="O19" s="190"/>
    </row>
    <row r="20" spans="1:15" ht="30" customHeight="1" x14ac:dyDescent="0.25">
      <c r="A20" s="96" t="s">
        <v>306</v>
      </c>
      <c r="B20" s="1041"/>
      <c r="C20" s="1042"/>
      <c r="D20" s="1042"/>
      <c r="E20" s="1042"/>
      <c r="G20" s="190"/>
      <c r="O20" s="190"/>
    </row>
    <row r="21" spans="1:15" ht="30" customHeight="1" x14ac:dyDescent="0.25">
      <c r="A21" s="574" t="s">
        <v>8</v>
      </c>
      <c r="B21" s="1000">
        <f>M11*J11*K11*H11</f>
        <v>640</v>
      </c>
      <c r="C21" s="1000"/>
      <c r="D21" s="1000"/>
      <c r="E21" s="1000"/>
      <c r="G21" s="190"/>
      <c r="H21" s="190"/>
      <c r="I21" s="190"/>
      <c r="J21" s="190"/>
      <c r="K21" s="212"/>
      <c r="L21" s="212"/>
      <c r="O21" s="190"/>
    </row>
    <row r="22" spans="1:15" ht="30" customHeight="1" x14ac:dyDescent="0.25">
      <c r="A22" s="574" t="s">
        <v>9</v>
      </c>
      <c r="B22" s="1000">
        <v>0</v>
      </c>
      <c r="C22" s="1000"/>
      <c r="D22" s="1000"/>
      <c r="E22" s="1000"/>
      <c r="G22" s="190"/>
      <c r="H22" s="190"/>
      <c r="I22" s="190"/>
      <c r="J22" s="190"/>
      <c r="K22" s="212"/>
      <c r="O22" s="190"/>
    </row>
    <row r="23" spans="1:15" ht="30" customHeight="1" x14ac:dyDescent="0.25">
      <c r="A23" s="574" t="s">
        <v>301</v>
      </c>
      <c r="B23" s="1016">
        <f>(B17-J19*G14)/(B21+B22)</f>
        <v>0</v>
      </c>
      <c r="C23" s="1016"/>
      <c r="D23" s="1016"/>
      <c r="E23" s="1016"/>
      <c r="G23" s="190"/>
      <c r="H23" s="190"/>
      <c r="I23" s="190"/>
      <c r="J23" s="190"/>
      <c r="K23" s="212"/>
      <c r="O23" s="190"/>
    </row>
    <row r="24" spans="1:15" ht="30" customHeight="1" x14ac:dyDescent="0.25">
      <c r="A24" s="574" t="s">
        <v>302</v>
      </c>
      <c r="B24" s="1048">
        <f>(B17-(J19*G14)-B18)/(B21+B22)</f>
        <v>0</v>
      </c>
      <c r="C24" s="1048"/>
      <c r="D24" s="1048"/>
      <c r="E24" s="1048"/>
      <c r="G24" s="190"/>
      <c r="H24" s="190"/>
      <c r="I24" s="190"/>
      <c r="J24" s="190"/>
      <c r="K24" s="212"/>
      <c r="O24" s="190"/>
    </row>
    <row r="25" spans="1:15" ht="30" customHeight="1" x14ac:dyDescent="0.25">
      <c r="A25" s="100" t="s">
        <v>305</v>
      </c>
      <c r="B25" s="1070">
        <f>B19/1000*L11</f>
        <v>1.0728</v>
      </c>
      <c r="C25" s="1070"/>
      <c r="D25" s="1070"/>
      <c r="E25" s="1070"/>
      <c r="G25" s="190"/>
      <c r="H25" s="190"/>
      <c r="I25" s="190"/>
      <c r="J25" s="190"/>
      <c r="K25" s="212"/>
      <c r="O25" s="190"/>
    </row>
    <row r="26" spans="1:15" ht="30" customHeight="1" x14ac:dyDescent="0.25">
      <c r="A26" s="101" t="s">
        <v>303</v>
      </c>
      <c r="B26" s="1021">
        <f>B25/'Objectifs CO2'!C10</f>
        <v>3.2986315194472472E-4</v>
      </c>
      <c r="C26" s="1021"/>
      <c r="D26" s="1021"/>
      <c r="E26" s="1021"/>
      <c r="G26" s="190"/>
      <c r="H26" s="190"/>
      <c r="I26" s="190"/>
      <c r="J26" s="190"/>
      <c r="K26" s="212"/>
      <c r="O26" s="190"/>
    </row>
    <row r="27" spans="1:15" ht="30" customHeight="1" x14ac:dyDescent="0.25">
      <c r="A27" s="101" t="s">
        <v>304</v>
      </c>
      <c r="B27" s="1044">
        <f>B25/'Objectifs CO2'!C4</f>
        <v>4.9479472791708709E-5</v>
      </c>
      <c r="C27" s="1045"/>
      <c r="D27" s="1045"/>
      <c r="E27" s="1045"/>
      <c r="G27" s="190"/>
      <c r="H27" s="190"/>
      <c r="I27" s="190"/>
      <c r="J27" s="190"/>
      <c r="K27" s="212"/>
      <c r="O27" s="190"/>
    </row>
    <row r="28" spans="1:15" ht="30" customHeight="1" x14ac:dyDescent="0.25">
      <c r="A28" s="101" t="s">
        <v>22</v>
      </c>
      <c r="B28" s="1010"/>
      <c r="C28" s="1010"/>
      <c r="D28" s="1010"/>
      <c r="E28" s="1010"/>
      <c r="G28" s="190"/>
      <c r="H28" s="190"/>
      <c r="I28" s="190"/>
      <c r="J28" s="190"/>
      <c r="K28" s="212"/>
      <c r="O28" s="190"/>
    </row>
    <row r="29" spans="1:15" ht="30" customHeight="1" x14ac:dyDescent="0.25">
      <c r="A29" s="101" t="s">
        <v>257</v>
      </c>
      <c r="B29" s="999"/>
      <c r="C29" s="999"/>
      <c r="D29" s="999"/>
      <c r="E29" s="999"/>
    </row>
    <row r="31" spans="1:15" x14ac:dyDescent="0.25">
      <c r="A31" s="603" t="s">
        <v>1065</v>
      </c>
      <c r="B31" s="1003" t="s">
        <v>675</v>
      </c>
      <c r="C31" s="1003"/>
      <c r="D31" s="1003"/>
      <c r="E31" s="561"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68"/>
      <c r="E43" s="94" t="s">
        <v>730</v>
      </c>
    </row>
    <row r="44" spans="1:12" x14ac:dyDescent="0.25">
      <c r="A44" s="568"/>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4">
    <mergeCell ref="A1:E1"/>
    <mergeCell ref="B2:E2"/>
    <mergeCell ref="G2:H2"/>
    <mergeCell ref="B3:E3"/>
    <mergeCell ref="G3:H3"/>
    <mergeCell ref="B4:E4"/>
    <mergeCell ref="G4:H4"/>
    <mergeCell ref="B7:E7"/>
    <mergeCell ref="G7:H7"/>
    <mergeCell ref="B8:E8"/>
    <mergeCell ref="Z8:AA8"/>
    <mergeCell ref="B9:E9"/>
    <mergeCell ref="Z9:AA9"/>
    <mergeCell ref="B5:E5"/>
    <mergeCell ref="G5:H5"/>
    <mergeCell ref="Z5:AB5"/>
    <mergeCell ref="B6:E6"/>
    <mergeCell ref="G6:H6"/>
    <mergeCell ref="Z6:AA6"/>
    <mergeCell ref="B13:E13"/>
    <mergeCell ref="Z13:AA13"/>
    <mergeCell ref="B14:E14"/>
    <mergeCell ref="Z14:AA14"/>
    <mergeCell ref="B15:E15"/>
    <mergeCell ref="Z15:AA15"/>
    <mergeCell ref="B10:E10"/>
    <mergeCell ref="Z10:AA10"/>
    <mergeCell ref="B11:E11"/>
    <mergeCell ref="Z11:AA11"/>
    <mergeCell ref="B12:E12"/>
    <mergeCell ref="Z12:AA12"/>
    <mergeCell ref="B22:E22"/>
    <mergeCell ref="B23:E23"/>
    <mergeCell ref="B24:E24"/>
    <mergeCell ref="B25:E25"/>
    <mergeCell ref="B19:E19"/>
    <mergeCell ref="B20:E20"/>
    <mergeCell ref="B21:E21"/>
    <mergeCell ref="B16:E16"/>
    <mergeCell ref="Z16:AA16"/>
    <mergeCell ref="B17:E17"/>
    <mergeCell ref="B18:E18"/>
    <mergeCell ref="B29:E29"/>
    <mergeCell ref="B31:D31"/>
    <mergeCell ref="B32:D32"/>
    <mergeCell ref="G32:I32"/>
    <mergeCell ref="B33:D33"/>
    <mergeCell ref="H33:I33"/>
    <mergeCell ref="B26:E26"/>
    <mergeCell ref="B27:E27"/>
    <mergeCell ref="B28:E28"/>
    <mergeCell ref="B38:D38"/>
    <mergeCell ref="B39:D39"/>
    <mergeCell ref="B40:D40"/>
    <mergeCell ref="G40:I40"/>
    <mergeCell ref="B41:D41"/>
    <mergeCell ref="B42:D42"/>
    <mergeCell ref="B34:D34"/>
    <mergeCell ref="H34:I34"/>
    <mergeCell ref="B35:D35"/>
    <mergeCell ref="H35:I35"/>
    <mergeCell ref="B36:D36"/>
    <mergeCell ref="B37:D37"/>
    <mergeCell ref="B44:D44"/>
    <mergeCell ref="G46:L46"/>
    <mergeCell ref="A47:A51"/>
    <mergeCell ref="B47:F47"/>
    <mergeCell ref="G47:L47"/>
    <mergeCell ref="B48:F48"/>
    <mergeCell ref="G48:L48"/>
    <mergeCell ref="B49:F49"/>
    <mergeCell ref="G49:L49"/>
    <mergeCell ref="B50:F50"/>
    <mergeCell ref="G50:L50"/>
    <mergeCell ref="B51:F51"/>
    <mergeCell ref="G51:L51"/>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s>
  <conditionalFormatting sqref="B5">
    <cfRule type="containsText" dxfId="146" priority="1" operator="containsText" text="Terminé">
      <formula>NOT(ISERROR(SEARCH("Terminé",B5)))</formula>
    </cfRule>
    <cfRule type="containsText" dxfId="145" priority="2" operator="containsText" text="En cours">
      <formula>NOT(ISERROR(SEARCH("En cours",B5)))</formula>
    </cfRule>
    <cfRule type="containsText" dxfId="14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C13" zoomScale="115" zoomScaleNormal="115"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1038</v>
      </c>
      <c r="C2" s="1068"/>
      <c r="D2" s="1068"/>
      <c r="E2" s="1068"/>
      <c r="F2" s="7"/>
      <c r="G2" s="986" t="s">
        <v>751</v>
      </c>
      <c r="H2" s="986"/>
    </row>
    <row r="3" spans="1:28" ht="19.5" customHeight="1" x14ac:dyDescent="0.25">
      <c r="A3" s="579" t="s">
        <v>743</v>
      </c>
      <c r="B3" s="987" t="s">
        <v>746</v>
      </c>
      <c r="C3" s="987"/>
      <c r="D3" s="987"/>
      <c r="E3" s="987"/>
      <c r="F3" s="7"/>
      <c r="G3" s="986" t="s">
        <v>752</v>
      </c>
      <c r="H3" s="986"/>
    </row>
    <row r="4" spans="1:28" ht="19.5" customHeight="1" x14ac:dyDescent="0.25">
      <c r="A4" s="580" t="s">
        <v>292</v>
      </c>
      <c r="B4" s="996" t="s">
        <v>34</v>
      </c>
      <c r="C4" s="996"/>
      <c r="D4" s="996"/>
      <c r="E4" s="996"/>
      <c r="F4" s="7"/>
      <c r="G4" s="986" t="s">
        <v>753</v>
      </c>
      <c r="H4" s="986"/>
    </row>
    <row r="5" spans="1:28" ht="19.5" customHeight="1" x14ac:dyDescent="0.25">
      <c r="A5" s="580"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581"/>
      <c r="AA7" s="582"/>
      <c r="AB7" s="357"/>
    </row>
    <row r="8" spans="1:28" ht="24" customHeight="1" x14ac:dyDescent="0.25">
      <c r="A8" s="589" t="s">
        <v>1</v>
      </c>
      <c r="B8" s="967" t="s">
        <v>1043</v>
      </c>
      <c r="C8" s="967"/>
      <c r="D8" s="967"/>
      <c r="E8" s="967"/>
      <c r="Z8" s="1028" t="s">
        <v>611</v>
      </c>
      <c r="AA8" s="1029"/>
      <c r="AB8" s="357">
        <v>0.26819999999999999</v>
      </c>
    </row>
    <row r="9" spans="1:28" ht="24" customHeight="1" x14ac:dyDescent="0.25">
      <c r="A9" s="589" t="s">
        <v>0</v>
      </c>
      <c r="B9" s="1111" t="s">
        <v>1044</v>
      </c>
      <c r="C9" s="1112"/>
      <c r="D9" s="1112"/>
      <c r="E9" s="1113"/>
      <c r="Z9" s="1028" t="s">
        <v>612</v>
      </c>
      <c r="AA9" s="1029"/>
      <c r="AB9" s="357">
        <v>3.1300000000000001E-2</v>
      </c>
    </row>
    <row r="10" spans="1:28" ht="40.5" customHeight="1" x14ac:dyDescent="0.25">
      <c r="A10" s="589" t="s">
        <v>2</v>
      </c>
      <c r="B10" s="1034" t="s">
        <v>915</v>
      </c>
      <c r="C10" s="1035"/>
      <c r="D10" s="1035"/>
      <c r="E10" s="1035"/>
      <c r="Z10" s="1028"/>
      <c r="AA10" s="1029"/>
      <c r="AB10" s="357"/>
    </row>
    <row r="11" spans="1:28" ht="15.75" x14ac:dyDescent="0.25">
      <c r="A11" s="589" t="s">
        <v>29</v>
      </c>
      <c r="B11" s="1034"/>
      <c r="C11" s="1035"/>
      <c r="D11" s="1035"/>
      <c r="E11" s="1035"/>
      <c r="Z11" s="1028" t="s">
        <v>613</v>
      </c>
      <c r="AA11" s="1029"/>
      <c r="AB11" s="357">
        <v>0.26819999999999999</v>
      </c>
    </row>
    <row r="12" spans="1:28" ht="30" customHeight="1" x14ac:dyDescent="0.25">
      <c r="A12" s="589" t="s">
        <v>14</v>
      </c>
      <c r="B12" s="1010" t="s">
        <v>939</v>
      </c>
      <c r="C12" s="1010"/>
      <c r="D12" s="1010"/>
      <c r="E12" s="1010"/>
      <c r="G12" s="190"/>
      <c r="Z12" s="1028" t="s">
        <v>614</v>
      </c>
      <c r="AA12" s="1029"/>
      <c r="AB12" s="357">
        <v>1.18E-2</v>
      </c>
    </row>
    <row r="13" spans="1:28" ht="30" customHeight="1" x14ac:dyDescent="0.25">
      <c r="A13" s="589" t="s">
        <v>3</v>
      </c>
      <c r="B13" s="1011" t="s">
        <v>943</v>
      </c>
      <c r="C13" s="1011"/>
      <c r="D13" s="1011"/>
      <c r="E13" s="1011"/>
      <c r="G13" s="59" t="s">
        <v>1042</v>
      </c>
      <c r="H13" s="60" t="s">
        <v>226</v>
      </c>
      <c r="I13" s="60" t="s">
        <v>109</v>
      </c>
      <c r="J13" s="60" t="s">
        <v>227</v>
      </c>
      <c r="K13" s="60" t="s">
        <v>911</v>
      </c>
      <c r="L13" s="60" t="s">
        <v>150</v>
      </c>
      <c r="M13" s="60" t="s">
        <v>912</v>
      </c>
      <c r="N13" s="60"/>
      <c r="Z13" s="1028" t="s">
        <v>615</v>
      </c>
      <c r="AA13" s="1029"/>
      <c r="AB13" s="358">
        <f>AB15/0.55</f>
        <v>0.50363636363636366</v>
      </c>
    </row>
    <row r="14" spans="1:28" ht="30" customHeight="1" x14ac:dyDescent="0.25">
      <c r="A14" s="589" t="s">
        <v>15</v>
      </c>
      <c r="B14" s="1010"/>
      <c r="C14" s="1010"/>
      <c r="D14" s="1010"/>
      <c r="E14" s="1010"/>
      <c r="G14" s="526">
        <v>15</v>
      </c>
      <c r="H14" s="587">
        <v>15490</v>
      </c>
      <c r="I14" s="587">
        <v>10</v>
      </c>
      <c r="J14" s="587">
        <v>1.6</v>
      </c>
      <c r="K14" s="587">
        <v>0.65</v>
      </c>
      <c r="L14" s="587">
        <f>AB8</f>
        <v>0.26819999999999999</v>
      </c>
      <c r="M14" s="587">
        <f>AB16</f>
        <v>0.20269999999999999</v>
      </c>
      <c r="N14" s="587"/>
      <c r="Z14" s="1028" t="s">
        <v>616</v>
      </c>
      <c r="AA14" s="1029"/>
      <c r="AB14" s="357">
        <v>0.26819999999999999</v>
      </c>
    </row>
    <row r="15" spans="1:28" ht="30" customHeight="1" x14ac:dyDescent="0.25">
      <c r="A15" s="589" t="s">
        <v>4</v>
      </c>
      <c r="B15" s="1010">
        <v>2020</v>
      </c>
      <c r="C15" s="1010"/>
      <c r="D15" s="1010"/>
      <c r="E15" s="1010"/>
      <c r="G15" s="190"/>
      <c r="H15" s="190"/>
      <c r="I15" s="587">
        <v>100</v>
      </c>
      <c r="J15" s="190"/>
      <c r="K15" s="190"/>
      <c r="L15" s="190"/>
      <c r="M15" s="190"/>
      <c r="N15" s="190"/>
      <c r="O15" s="190"/>
      <c r="Z15" s="1028" t="s">
        <v>578</v>
      </c>
      <c r="AA15" s="1029"/>
      <c r="AB15" s="357">
        <v>0.27700000000000002</v>
      </c>
    </row>
    <row r="16" spans="1:28" ht="30" customHeight="1" x14ac:dyDescent="0.25">
      <c r="A16" s="589" t="s">
        <v>5</v>
      </c>
      <c r="B16" s="1010">
        <v>2030</v>
      </c>
      <c r="C16" s="1010"/>
      <c r="D16" s="1010"/>
      <c r="E16" s="1010"/>
      <c r="O16" s="190"/>
      <c r="Z16" s="1028" t="s">
        <v>579</v>
      </c>
      <c r="AA16" s="1029"/>
      <c r="AB16" s="357">
        <v>0.20269999999999999</v>
      </c>
    </row>
    <row r="17" spans="1:15" ht="30" customHeight="1" x14ac:dyDescent="0.25">
      <c r="A17" s="589" t="s">
        <v>6</v>
      </c>
      <c r="B17" s="1000">
        <f>G14*H19</f>
        <v>330000</v>
      </c>
      <c r="C17" s="1000"/>
      <c r="D17" s="1000"/>
      <c r="E17" s="1000"/>
      <c r="H17" s="1107" t="s">
        <v>913</v>
      </c>
      <c r="I17" s="1107"/>
      <c r="J17" s="1107" t="s">
        <v>914</v>
      </c>
      <c r="K17" s="1107"/>
      <c r="O17" s="190"/>
    </row>
    <row r="18" spans="1:15" ht="30" customHeight="1" x14ac:dyDescent="0.25">
      <c r="A18" s="589" t="s">
        <v>7</v>
      </c>
      <c r="B18" s="1000">
        <v>0</v>
      </c>
      <c r="C18" s="1000"/>
      <c r="D18" s="1000"/>
      <c r="E18" s="1000"/>
      <c r="G18" s="190"/>
      <c r="H18" s="1107"/>
      <c r="I18" s="1107"/>
      <c r="J18" s="1107"/>
      <c r="K18" s="1107"/>
      <c r="L18" s="212"/>
      <c r="O18" s="190"/>
    </row>
    <row r="19" spans="1:15" ht="30" customHeight="1" x14ac:dyDescent="0.25">
      <c r="A19" s="99" t="s">
        <v>307</v>
      </c>
      <c r="B19" s="1039">
        <v>0</v>
      </c>
      <c r="C19" s="1040"/>
      <c r="D19" s="1040"/>
      <c r="E19" s="1040"/>
      <c r="G19" s="190"/>
      <c r="H19" s="1107">
        <v>22000</v>
      </c>
      <c r="I19" s="1107"/>
      <c r="J19" s="1107">
        <v>20000</v>
      </c>
      <c r="K19" s="1107"/>
      <c r="L19" s="212"/>
      <c r="O19" s="190"/>
    </row>
    <row r="20" spans="1:15" ht="30" customHeight="1" x14ac:dyDescent="0.25">
      <c r="A20" s="96" t="s">
        <v>306</v>
      </c>
      <c r="B20" s="1041"/>
      <c r="C20" s="1042"/>
      <c r="D20" s="1042"/>
      <c r="E20" s="1042"/>
      <c r="G20" s="190"/>
      <c r="H20" s="1107"/>
      <c r="I20" s="1107"/>
      <c r="J20" s="1107"/>
      <c r="K20" s="1107"/>
      <c r="L20" s="212"/>
      <c r="O20" s="190"/>
    </row>
    <row r="21" spans="1:15" ht="30" customHeight="1" x14ac:dyDescent="0.25">
      <c r="A21" s="589" t="s">
        <v>8</v>
      </c>
      <c r="B21" s="1000">
        <f>G14*H14*I14/I15*J14-G14*H14*K14*I14/I15</f>
        <v>22073.25</v>
      </c>
      <c r="C21" s="1000"/>
      <c r="D21" s="1000"/>
      <c r="E21" s="1000"/>
      <c r="G21" s="190"/>
      <c r="H21" s="190"/>
      <c r="I21" s="190"/>
      <c r="J21" s="190"/>
      <c r="K21" s="1110"/>
      <c r="L21" s="1110"/>
      <c r="O21" s="190"/>
    </row>
    <row r="22" spans="1:15" ht="30" customHeight="1" x14ac:dyDescent="0.25">
      <c r="A22" s="589" t="s">
        <v>9</v>
      </c>
      <c r="B22" s="1000">
        <v>0</v>
      </c>
      <c r="C22" s="1000"/>
      <c r="D22" s="1000"/>
      <c r="E22" s="1000"/>
      <c r="G22" s="1108" t="s">
        <v>231</v>
      </c>
      <c r="H22" s="1108"/>
      <c r="I22" s="75">
        <f>B19/10*J14+K22</f>
        <v>12000</v>
      </c>
      <c r="J22" s="575" t="s">
        <v>237</v>
      </c>
      <c r="K22" s="575">
        <f>G14*800</f>
        <v>12000</v>
      </c>
      <c r="O22" s="190"/>
    </row>
    <row r="23" spans="1:15" ht="30" customHeight="1" x14ac:dyDescent="0.25">
      <c r="A23" s="589" t="s">
        <v>301</v>
      </c>
      <c r="B23" s="1016">
        <f>(B17-J19*G14)/(B21+B22)</f>
        <v>1.359111141313581</v>
      </c>
      <c r="C23" s="1016"/>
      <c r="D23" s="1016"/>
      <c r="E23" s="1016"/>
      <c r="G23" s="1108"/>
      <c r="H23" s="1108"/>
      <c r="I23" s="75"/>
      <c r="J23" s="575" t="s">
        <v>237</v>
      </c>
      <c r="K23" s="575">
        <f>G14*100</f>
        <v>1500</v>
      </c>
      <c r="O23" s="190"/>
    </row>
    <row r="24" spans="1:15" ht="30" customHeight="1" x14ac:dyDescent="0.25">
      <c r="A24" s="589" t="s">
        <v>302</v>
      </c>
      <c r="B24" s="1048">
        <f>(B17-(J19*G14)-B18)/(B21+B22)</f>
        <v>1.359111141313581</v>
      </c>
      <c r="C24" s="1048"/>
      <c r="D24" s="1048"/>
      <c r="E24" s="1048"/>
      <c r="G24" s="190"/>
      <c r="H24" s="190"/>
      <c r="I24" s="190"/>
      <c r="J24" s="190"/>
      <c r="O24" s="190"/>
    </row>
    <row r="25" spans="1:15" ht="30" customHeight="1" x14ac:dyDescent="0.25">
      <c r="A25" s="100" t="s">
        <v>305</v>
      </c>
      <c r="B25" s="1070">
        <f>G14*H14*I14/I15/100*L14-G14*H14*I14/I15/100*M14</f>
        <v>15.218924999999999</v>
      </c>
      <c r="C25" s="1070"/>
      <c r="D25" s="1070"/>
      <c r="E25" s="1070"/>
      <c r="G25" s="1109" t="s">
        <v>233</v>
      </c>
      <c r="H25" s="1109"/>
      <c r="I25" s="588">
        <f>H14*I14/I15*10*G14</f>
        <v>232350</v>
      </c>
      <c r="J25" s="575" t="s">
        <v>234</v>
      </c>
      <c r="O25" s="190"/>
    </row>
    <row r="26" spans="1:15" ht="30" customHeight="1" x14ac:dyDescent="0.25">
      <c r="A26" s="101" t="s">
        <v>303</v>
      </c>
      <c r="B26" s="1021">
        <f>B25/'Objectifs CO2'!C10</f>
        <v>4.679495311064848E-3</v>
      </c>
      <c r="C26" s="1021"/>
      <c r="D26" s="1021"/>
      <c r="E26" s="1021"/>
      <c r="G26" s="1109" t="s">
        <v>235</v>
      </c>
      <c r="H26" s="1109"/>
      <c r="I26" s="76" t="e">
        <f>I25*#REF!</f>
        <v>#REF!</v>
      </c>
      <c r="J26" s="575" t="s">
        <v>234</v>
      </c>
      <c r="O26" s="190"/>
    </row>
    <row r="27" spans="1:15" ht="30" customHeight="1" x14ac:dyDescent="0.25">
      <c r="A27" s="101" t="s">
        <v>304</v>
      </c>
      <c r="B27" s="1044">
        <f>B25/'Objectifs CO2'!C4</f>
        <v>7.019242966597272E-4</v>
      </c>
      <c r="C27" s="1045"/>
      <c r="D27" s="1045"/>
      <c r="E27" s="1045"/>
      <c r="G27" s="1109" t="s">
        <v>236</v>
      </c>
      <c r="H27" s="1109"/>
      <c r="I27" s="76" t="e">
        <f>I26</f>
        <v>#REF!</v>
      </c>
      <c r="J27" s="575" t="s">
        <v>234</v>
      </c>
      <c r="O27" s="190"/>
    </row>
    <row r="28" spans="1:15" ht="30" customHeight="1" x14ac:dyDescent="0.25">
      <c r="A28" s="101" t="s">
        <v>22</v>
      </c>
      <c r="B28" s="1010"/>
      <c r="C28" s="1010"/>
      <c r="D28" s="1010"/>
      <c r="E28" s="1010"/>
      <c r="G28" s="1109" t="s">
        <v>203</v>
      </c>
      <c r="H28" s="1109"/>
      <c r="I28" s="76" t="e">
        <f>I27/N14</f>
        <v>#REF!</v>
      </c>
      <c r="J28" s="575" t="s">
        <v>234</v>
      </c>
      <c r="O28" s="190"/>
    </row>
    <row r="29" spans="1:15" ht="30" customHeight="1" x14ac:dyDescent="0.25">
      <c r="A29" s="101" t="s">
        <v>257</v>
      </c>
      <c r="B29" s="999"/>
      <c r="C29" s="999"/>
      <c r="D29" s="999"/>
      <c r="E29" s="999"/>
    </row>
    <row r="31" spans="1:15" x14ac:dyDescent="0.25">
      <c r="A31" s="603" t="s">
        <v>1065</v>
      </c>
      <c r="B31" s="1003" t="s">
        <v>675</v>
      </c>
      <c r="C31" s="1003"/>
      <c r="D31" s="1003"/>
      <c r="E31" s="575"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77"/>
      <c r="E43" s="94" t="s">
        <v>730</v>
      </c>
    </row>
    <row r="44" spans="1:12" x14ac:dyDescent="0.25">
      <c r="A44" s="57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5">
    <mergeCell ref="A63:A69"/>
    <mergeCell ref="B63:F63"/>
    <mergeCell ref="G63:L63"/>
    <mergeCell ref="B64:F64"/>
    <mergeCell ref="G64:L64"/>
    <mergeCell ref="B65:F65"/>
    <mergeCell ref="B69:F69"/>
    <mergeCell ref="G69:L69"/>
    <mergeCell ref="G65:L65"/>
    <mergeCell ref="B66:F66"/>
    <mergeCell ref="G66:L66"/>
    <mergeCell ref="B67:F67"/>
    <mergeCell ref="G67:L67"/>
    <mergeCell ref="B68:F68"/>
    <mergeCell ref="G68:L68"/>
    <mergeCell ref="A52:A62"/>
    <mergeCell ref="B52:F52"/>
    <mergeCell ref="G52:L52"/>
    <mergeCell ref="B53:F53"/>
    <mergeCell ref="G53:L53"/>
    <mergeCell ref="B54:F54"/>
    <mergeCell ref="G54:L54"/>
    <mergeCell ref="B58:F58"/>
    <mergeCell ref="G58:L58"/>
    <mergeCell ref="B59:F59"/>
    <mergeCell ref="G59:L59"/>
    <mergeCell ref="B60:F60"/>
    <mergeCell ref="G60:L60"/>
    <mergeCell ref="B55:F55"/>
    <mergeCell ref="G55:L55"/>
    <mergeCell ref="B56:F56"/>
    <mergeCell ref="G56:L56"/>
    <mergeCell ref="B57:F57"/>
    <mergeCell ref="G57:L57"/>
    <mergeCell ref="B61:F61"/>
    <mergeCell ref="G61:L61"/>
    <mergeCell ref="B62:F62"/>
    <mergeCell ref="G62:L62"/>
    <mergeCell ref="B44:D44"/>
    <mergeCell ref="G46:L46"/>
    <mergeCell ref="A47:A51"/>
    <mergeCell ref="B47:F47"/>
    <mergeCell ref="G47:L47"/>
    <mergeCell ref="B48:F48"/>
    <mergeCell ref="G48:L48"/>
    <mergeCell ref="B49:F49"/>
    <mergeCell ref="G49:L49"/>
    <mergeCell ref="B50:F50"/>
    <mergeCell ref="G50:L50"/>
    <mergeCell ref="B51:F51"/>
    <mergeCell ref="G51:L51"/>
    <mergeCell ref="B38:D38"/>
    <mergeCell ref="B39:D39"/>
    <mergeCell ref="B40:D40"/>
    <mergeCell ref="G40:I40"/>
    <mergeCell ref="B41:D41"/>
    <mergeCell ref="B42:D42"/>
    <mergeCell ref="B34:D34"/>
    <mergeCell ref="H34:I34"/>
    <mergeCell ref="B35:D35"/>
    <mergeCell ref="H35:I35"/>
    <mergeCell ref="B36:D36"/>
    <mergeCell ref="B37:D37"/>
    <mergeCell ref="B29:E29"/>
    <mergeCell ref="B31:D31"/>
    <mergeCell ref="B32:D32"/>
    <mergeCell ref="G32:I32"/>
    <mergeCell ref="B33:D33"/>
    <mergeCell ref="H33:I33"/>
    <mergeCell ref="B26:E26"/>
    <mergeCell ref="G26:H26"/>
    <mergeCell ref="B27:E27"/>
    <mergeCell ref="G27:H27"/>
    <mergeCell ref="B28:E28"/>
    <mergeCell ref="G28:H28"/>
    <mergeCell ref="B22:E22"/>
    <mergeCell ref="G22:H22"/>
    <mergeCell ref="B23:E23"/>
    <mergeCell ref="G23:H23"/>
    <mergeCell ref="B24:E24"/>
    <mergeCell ref="B25:E25"/>
    <mergeCell ref="G25:H25"/>
    <mergeCell ref="B19:E19"/>
    <mergeCell ref="H19:I20"/>
    <mergeCell ref="J19:K20"/>
    <mergeCell ref="B20:E20"/>
    <mergeCell ref="B21:E21"/>
    <mergeCell ref="K21:L21"/>
    <mergeCell ref="B16:E16"/>
    <mergeCell ref="Z16:AA16"/>
    <mergeCell ref="B17:E17"/>
    <mergeCell ref="H17:I18"/>
    <mergeCell ref="J17:K18"/>
    <mergeCell ref="B18:E18"/>
    <mergeCell ref="B13:E13"/>
    <mergeCell ref="Z13:AA13"/>
    <mergeCell ref="B14:E14"/>
    <mergeCell ref="Z14:AA14"/>
    <mergeCell ref="B15:E15"/>
    <mergeCell ref="Z15:AA15"/>
    <mergeCell ref="B10:E10"/>
    <mergeCell ref="Z10:AA10"/>
    <mergeCell ref="B11:E11"/>
    <mergeCell ref="Z11:AA11"/>
    <mergeCell ref="B12:E12"/>
    <mergeCell ref="Z12:AA12"/>
    <mergeCell ref="B8:E8"/>
    <mergeCell ref="Z8:AA8"/>
    <mergeCell ref="B9:E9"/>
    <mergeCell ref="Z9:AA9"/>
    <mergeCell ref="B5:E5"/>
    <mergeCell ref="G5:H5"/>
    <mergeCell ref="Z5:AB5"/>
    <mergeCell ref="B6:E6"/>
    <mergeCell ref="G6:H6"/>
    <mergeCell ref="Z6:AA6"/>
    <mergeCell ref="A1:E1"/>
    <mergeCell ref="B2:E2"/>
    <mergeCell ref="G2:H2"/>
    <mergeCell ref="B3:E3"/>
    <mergeCell ref="G3:H3"/>
    <mergeCell ref="B4:E4"/>
    <mergeCell ref="G4:H4"/>
    <mergeCell ref="B7:E7"/>
    <mergeCell ref="G7:H7"/>
  </mergeCells>
  <conditionalFormatting sqref="B5">
    <cfRule type="containsText" dxfId="143" priority="1" operator="containsText" text="Terminé">
      <formula>NOT(ISERROR(SEARCH("Terminé",B5)))</formula>
    </cfRule>
    <cfRule type="containsText" dxfId="142" priority="2" operator="containsText" text="En cours">
      <formula>NOT(ISERROR(SEARCH("En cours",B5)))</formula>
    </cfRule>
    <cfRule type="containsText" dxfId="14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68"/>
  <sheetViews>
    <sheetView topLeftCell="B40" workbookViewId="0">
      <selection activeCell="BR1" sqref="BR1"/>
    </sheetView>
  </sheetViews>
  <sheetFormatPr baseColWidth="10" defaultColWidth="7.85546875" defaultRowHeight="15" x14ac:dyDescent="0.25"/>
  <cols>
    <col min="1" max="1" width="7.85546875" style="156"/>
    <col min="2" max="2" width="16.42578125" style="156" bestFit="1" customWidth="1"/>
    <col min="3" max="3" width="14.5703125" style="156" bestFit="1" customWidth="1"/>
    <col min="4" max="4" width="13" style="156" bestFit="1" customWidth="1"/>
    <col min="5" max="5" width="20.140625" style="156" bestFit="1" customWidth="1"/>
    <col min="6" max="6" width="16.7109375" style="156" bestFit="1" customWidth="1"/>
    <col min="7" max="7" width="7.7109375" style="156" bestFit="1" customWidth="1"/>
    <col min="8" max="9" width="7.85546875" style="156"/>
    <col min="10" max="42" width="7.85546875" style="293"/>
    <col min="43" max="16384" width="7.85546875" style="7"/>
  </cols>
  <sheetData>
    <row r="1" spans="1:42" s="294" customFormat="1" ht="18.75" x14ac:dyDescent="0.3">
      <c r="A1" s="291" t="s">
        <v>47</v>
      </c>
      <c r="B1" s="292"/>
      <c r="C1" s="292"/>
      <c r="D1" s="980" t="s">
        <v>604</v>
      </c>
      <c r="E1" s="980"/>
      <c r="F1" s="980"/>
      <c r="G1" s="292"/>
      <c r="H1" s="292"/>
      <c r="I1" s="292"/>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row>
    <row r="2" spans="1:42" s="294" customFormat="1" x14ac:dyDescent="0.25">
      <c r="A2" s="292"/>
      <c r="B2" s="292"/>
      <c r="C2" s="292"/>
      <c r="D2" s="292"/>
      <c r="E2" s="292"/>
      <c r="F2" s="292"/>
      <c r="G2" s="292"/>
      <c r="H2" s="292"/>
      <c r="I2" s="292"/>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row>
    <row r="3" spans="1:42" s="294" customFormat="1" x14ac:dyDescent="0.25">
      <c r="A3" s="292"/>
      <c r="B3" s="295" t="s">
        <v>14</v>
      </c>
      <c r="C3" s="295" t="s">
        <v>44</v>
      </c>
      <c r="D3" s="295" t="s">
        <v>7</v>
      </c>
      <c r="E3" s="295" t="s">
        <v>45</v>
      </c>
      <c r="F3" s="295" t="s">
        <v>46</v>
      </c>
      <c r="G3" s="292"/>
      <c r="H3" s="296" t="s">
        <v>13</v>
      </c>
      <c r="I3" s="292"/>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row>
    <row r="4" spans="1:42" s="294" customFormat="1" x14ac:dyDescent="0.25">
      <c r="A4" s="292"/>
      <c r="B4" s="297" t="s">
        <v>939</v>
      </c>
      <c r="C4" s="298">
        <f>'Synthèse CO2'!BK135</f>
        <v>168000</v>
      </c>
      <c r="D4" s="298">
        <f>'Synthèse CO2'!BR135</f>
        <v>30000</v>
      </c>
      <c r="E4" s="298">
        <f t="shared" ref="E4:E9" si="0">C4-D4</f>
        <v>138000</v>
      </c>
      <c r="F4" s="299">
        <f t="shared" ref="F4:F9" si="1">E4/5</f>
        <v>27600</v>
      </c>
      <c r="G4" s="292"/>
      <c r="H4" s="300">
        <f t="shared" ref="H4:H10" si="2">C4/C$10</f>
        <v>1</v>
      </c>
      <c r="I4" s="292"/>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row>
    <row r="5" spans="1:42" s="294" customFormat="1" x14ac:dyDescent="0.25">
      <c r="A5" s="292"/>
      <c r="B5" s="297" t="s">
        <v>35</v>
      </c>
      <c r="C5" s="298">
        <f>'Synthèse CO2'!BG135</f>
        <v>0</v>
      </c>
      <c r="D5" s="298">
        <f>'Synthèse CO2'!BN135</f>
        <v>0</v>
      </c>
      <c r="E5" s="298">
        <f t="shared" si="0"/>
        <v>0</v>
      </c>
      <c r="F5" s="299">
        <f t="shared" si="1"/>
        <v>0</v>
      </c>
      <c r="G5" s="292"/>
      <c r="H5" s="300">
        <f t="shared" si="2"/>
        <v>0</v>
      </c>
      <c r="I5" s="292"/>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row>
    <row r="6" spans="1:42" s="294" customFormat="1" x14ac:dyDescent="0.25">
      <c r="A6" s="292"/>
      <c r="B6" s="297" t="s">
        <v>32</v>
      </c>
      <c r="C6" s="298">
        <f>'Synthèse CO2'!BI135</f>
        <v>0</v>
      </c>
      <c r="D6" s="298">
        <f>'Synthèse CO2'!BP135</f>
        <v>0</v>
      </c>
      <c r="E6" s="298">
        <f t="shared" si="0"/>
        <v>0</v>
      </c>
      <c r="F6" s="299">
        <f t="shared" si="1"/>
        <v>0</v>
      </c>
      <c r="G6" s="292"/>
      <c r="H6" s="300">
        <f t="shared" si="2"/>
        <v>0</v>
      </c>
      <c r="I6" s="292"/>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row>
    <row r="7" spans="1:42" s="294" customFormat="1" x14ac:dyDescent="0.25">
      <c r="A7" s="292"/>
      <c r="B7" s="301" t="s">
        <v>339</v>
      </c>
      <c r="C7" s="298">
        <f>'Synthèse CO2'!BJ135</f>
        <v>0</v>
      </c>
      <c r="D7" s="298">
        <f>'Synthèse CO2'!BQ135</f>
        <v>0</v>
      </c>
      <c r="E7" s="298">
        <f t="shared" si="0"/>
        <v>0</v>
      </c>
      <c r="F7" s="299">
        <f t="shared" si="1"/>
        <v>0</v>
      </c>
      <c r="G7" s="292"/>
      <c r="H7" s="300">
        <f t="shared" si="2"/>
        <v>0</v>
      </c>
      <c r="I7" s="292"/>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row>
    <row r="8" spans="1:42" s="294" customFormat="1" x14ac:dyDescent="0.25">
      <c r="A8" s="292"/>
      <c r="B8" s="302" t="s">
        <v>54</v>
      </c>
      <c r="C8" s="298">
        <f>'Synthèse CO2'!BH135</f>
        <v>0</v>
      </c>
      <c r="D8" s="298">
        <f>'Synthèse CO2'!BO135</f>
        <v>0</v>
      </c>
      <c r="E8" s="298">
        <f t="shared" si="0"/>
        <v>0</v>
      </c>
      <c r="F8" s="299">
        <f t="shared" si="1"/>
        <v>0</v>
      </c>
      <c r="G8" s="292"/>
      <c r="H8" s="300">
        <f t="shared" si="2"/>
        <v>0</v>
      </c>
      <c r="I8" s="292"/>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row>
    <row r="9" spans="1:42" s="294" customFormat="1" x14ac:dyDescent="0.25">
      <c r="A9" s="292"/>
      <c r="B9" s="302" t="s">
        <v>38</v>
      </c>
      <c r="C9" s="303">
        <f>'Synthèse CO2'!BL135</f>
        <v>0</v>
      </c>
      <c r="D9" s="298">
        <f>'Synthèse CO2'!BS135</f>
        <v>0</v>
      </c>
      <c r="E9" s="298">
        <f t="shared" si="0"/>
        <v>0</v>
      </c>
      <c r="F9" s="299">
        <f t="shared" si="1"/>
        <v>0</v>
      </c>
      <c r="G9" s="292"/>
      <c r="H9" s="300">
        <f t="shared" si="2"/>
        <v>0</v>
      </c>
      <c r="I9" s="292"/>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row>
    <row r="10" spans="1:42" s="294" customFormat="1" x14ac:dyDescent="0.25">
      <c r="A10" s="292"/>
      <c r="B10" s="304" t="s">
        <v>247</v>
      </c>
      <c r="C10" s="305">
        <f>SUM(C4:C9)</f>
        <v>168000</v>
      </c>
      <c r="D10" s="306">
        <f>SUM(D4:D9)</f>
        <v>30000</v>
      </c>
      <c r="E10" s="306">
        <f>SUM(E4:E9)</f>
        <v>138000</v>
      </c>
      <c r="F10" s="306">
        <f>SUM(F4:F9)</f>
        <v>27600</v>
      </c>
      <c r="G10" s="292"/>
      <c r="H10" s="300">
        <f t="shared" si="2"/>
        <v>1</v>
      </c>
      <c r="I10" s="292"/>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row>
    <row r="11" spans="1:42" s="294" customFormat="1" x14ac:dyDescent="0.25">
      <c r="A11" s="292"/>
      <c r="B11" s="292"/>
      <c r="C11" s="292"/>
      <c r="D11" s="292"/>
      <c r="E11" s="292"/>
      <c r="F11" s="292"/>
      <c r="G11" s="292"/>
      <c r="H11" s="292"/>
      <c r="I11" s="292"/>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row>
    <row r="12" spans="1:42" s="294" customFormat="1" ht="18.75" x14ac:dyDescent="0.3">
      <c r="A12" s="291" t="s">
        <v>48</v>
      </c>
      <c r="B12" s="307"/>
      <c r="C12" s="292"/>
      <c r="D12" s="292"/>
      <c r="E12" s="292"/>
      <c r="F12" s="292"/>
      <c r="G12" s="292"/>
      <c r="H12" s="292"/>
      <c r="I12" s="292"/>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row>
    <row r="13" spans="1:42" s="294" customFormat="1" x14ac:dyDescent="0.25">
      <c r="A13" s="292"/>
      <c r="B13" s="292"/>
      <c r="C13" s="292"/>
      <c r="D13" s="292"/>
      <c r="E13" s="292"/>
      <c r="F13" s="292"/>
      <c r="G13" s="292"/>
      <c r="H13" s="292"/>
      <c r="I13" s="292"/>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row>
    <row r="14" spans="1:42" s="294" customFormat="1" x14ac:dyDescent="0.25">
      <c r="A14" s="292"/>
      <c r="B14" s="297" t="s">
        <v>292</v>
      </c>
      <c r="C14" s="295" t="s">
        <v>43</v>
      </c>
      <c r="D14" s="295" t="s">
        <v>7</v>
      </c>
      <c r="E14" s="295" t="s">
        <v>8</v>
      </c>
      <c r="F14" s="295" t="s">
        <v>26</v>
      </c>
      <c r="G14" s="308" t="s">
        <v>27</v>
      </c>
      <c r="H14" s="296" t="s">
        <v>13</v>
      </c>
      <c r="I14" s="292"/>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row>
    <row r="15" spans="1:42" s="294" customFormat="1" x14ac:dyDescent="0.25">
      <c r="A15" s="292"/>
      <c r="B15" s="297" t="s">
        <v>39</v>
      </c>
      <c r="C15" s="309">
        <f>'Synthèse CO2'!AA135</f>
        <v>168000</v>
      </c>
      <c r="D15" s="309">
        <f>'Synthèse CO2'!AI135</f>
        <v>30000</v>
      </c>
      <c r="E15" s="309">
        <f>'Synthèse CO2'!AQ135</f>
        <v>6</v>
      </c>
      <c r="F15" s="309">
        <f>'Synthèse CO2'!AY135</f>
        <v>0</v>
      </c>
      <c r="G15" s="310">
        <f t="shared" ref="G15:G22" si="3">(C15-D15)/(E15+F15)</f>
        <v>23000</v>
      </c>
      <c r="H15" s="300">
        <f>C15/C$22</f>
        <v>1</v>
      </c>
      <c r="I15" s="292"/>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row>
    <row r="16" spans="1:42" s="294" customFormat="1" x14ac:dyDescent="0.25">
      <c r="A16" s="292"/>
      <c r="B16" s="297" t="s">
        <v>36</v>
      </c>
      <c r="C16" s="309">
        <f>'Synthèse CO2'!AB135</f>
        <v>0</v>
      </c>
      <c r="D16" s="309">
        <f>'Synthèse CO2'!AJ135</f>
        <v>0</v>
      </c>
      <c r="E16" s="309">
        <f>'Synthèse CO2'!AR135</f>
        <v>0</v>
      </c>
      <c r="F16" s="309">
        <f>'Synthèse CO2'!AZ135</f>
        <v>0</v>
      </c>
      <c r="G16" s="310" t="e">
        <f t="shared" si="3"/>
        <v>#DIV/0!</v>
      </c>
      <c r="H16" s="300">
        <f t="shared" ref="H16:H22" si="4">C16/C$22</f>
        <v>0</v>
      </c>
      <c r="I16" s="292"/>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row>
    <row r="17" spans="1:42" s="294" customFormat="1" x14ac:dyDescent="0.25">
      <c r="A17" s="292"/>
      <c r="B17" s="297" t="s">
        <v>54</v>
      </c>
      <c r="C17" s="309">
        <f>'Synthèse CO2'!AC135</f>
        <v>0</v>
      </c>
      <c r="D17" s="309">
        <f>'Synthèse CO2'!AK135</f>
        <v>0</v>
      </c>
      <c r="E17" s="309">
        <f>'Synthèse CO2'!AS135</f>
        <v>0</v>
      </c>
      <c r="F17" s="309">
        <f>'Synthèse CO2'!BA135</f>
        <v>0</v>
      </c>
      <c r="G17" s="310" t="e">
        <f t="shared" si="3"/>
        <v>#DIV/0!</v>
      </c>
      <c r="H17" s="300">
        <f t="shared" si="4"/>
        <v>0</v>
      </c>
      <c r="I17" s="292"/>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1:42" s="294" customFormat="1" x14ac:dyDescent="0.25">
      <c r="A18" s="292"/>
      <c r="B18" s="297" t="s">
        <v>31</v>
      </c>
      <c r="C18" s="309">
        <f>'Synthèse CO2'!AD135</f>
        <v>0</v>
      </c>
      <c r="D18" s="309">
        <f>'Synthèse CO2'!AL135</f>
        <v>0</v>
      </c>
      <c r="E18" s="309">
        <f>'Synthèse CO2'!AT135</f>
        <v>0</v>
      </c>
      <c r="F18" s="309">
        <f>'Synthèse CO2'!BB135</f>
        <v>0</v>
      </c>
      <c r="G18" s="310" t="e">
        <f t="shared" si="3"/>
        <v>#DIV/0!</v>
      </c>
      <c r="H18" s="300">
        <f t="shared" si="4"/>
        <v>0</v>
      </c>
      <c r="I18" s="292"/>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row>
    <row r="19" spans="1:42" s="294" customFormat="1" x14ac:dyDescent="0.25">
      <c r="A19" s="292"/>
      <c r="B19" s="311" t="s">
        <v>38</v>
      </c>
      <c r="C19" s="309">
        <f>'Synthèse CO2'!AE135</f>
        <v>0</v>
      </c>
      <c r="D19" s="309">
        <f>'Synthèse CO2'!AM135</f>
        <v>0</v>
      </c>
      <c r="E19" s="309">
        <f>'Synthèse CO2'!AU135</f>
        <v>0</v>
      </c>
      <c r="F19" s="309">
        <f>'Synthèse CO2'!BC135</f>
        <v>0</v>
      </c>
      <c r="G19" s="310" t="e">
        <f t="shared" si="3"/>
        <v>#DIV/0!</v>
      </c>
      <c r="H19" s="300">
        <f t="shared" si="4"/>
        <v>0</v>
      </c>
      <c r="I19" s="292"/>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row>
    <row r="20" spans="1:42" s="294" customFormat="1" x14ac:dyDescent="0.25">
      <c r="A20" s="292"/>
      <c r="B20" s="295" t="s">
        <v>34</v>
      </c>
      <c r="C20" s="312">
        <f>'Synthèse CO2'!AF135</f>
        <v>0</v>
      </c>
      <c r="D20" s="312">
        <f>'Synthèse CO2'!AN135</f>
        <v>0</v>
      </c>
      <c r="E20" s="312">
        <f>'Synthèse CO2'!AV135</f>
        <v>0</v>
      </c>
      <c r="F20" s="312">
        <f>'Synthèse CO2'!BD135</f>
        <v>0</v>
      </c>
      <c r="G20" s="310" t="e">
        <f t="shared" si="3"/>
        <v>#DIV/0!</v>
      </c>
      <c r="H20" s="300">
        <f t="shared" si="4"/>
        <v>0</v>
      </c>
      <c r="I20" s="292"/>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row>
    <row r="21" spans="1:42" s="294" customFormat="1" x14ac:dyDescent="0.25">
      <c r="A21" s="292"/>
      <c r="B21" s="301" t="s">
        <v>37</v>
      </c>
      <c r="C21" s="309">
        <f>'Synthèse CO2'!AG135</f>
        <v>0</v>
      </c>
      <c r="D21" s="309">
        <f>'Synthèse CO2'!AO135</f>
        <v>0</v>
      </c>
      <c r="E21" s="309">
        <f>'Synthèse CO2'!AW135</f>
        <v>0</v>
      </c>
      <c r="F21" s="309">
        <f>'Synthèse CO2'!BE135</f>
        <v>0</v>
      </c>
      <c r="G21" s="310" t="e">
        <f t="shared" si="3"/>
        <v>#DIV/0!</v>
      </c>
      <c r="H21" s="300">
        <f t="shared" si="4"/>
        <v>0</v>
      </c>
      <c r="I21" s="292"/>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row>
    <row r="22" spans="1:42" s="294" customFormat="1" x14ac:dyDescent="0.25">
      <c r="A22" s="292"/>
      <c r="B22" s="304" t="s">
        <v>247</v>
      </c>
      <c r="C22" s="313">
        <f>SUM(C15:C21)</f>
        <v>168000</v>
      </c>
      <c r="D22" s="313">
        <f>SUM(D15:D21)</f>
        <v>30000</v>
      </c>
      <c r="E22" s="313">
        <f>SUM(E15:E21)</f>
        <v>6</v>
      </c>
      <c r="F22" s="313">
        <f>SUM(F15:F21)</f>
        <v>0</v>
      </c>
      <c r="G22" s="314">
        <f t="shared" si="3"/>
        <v>23000</v>
      </c>
      <c r="H22" s="300">
        <f t="shared" si="4"/>
        <v>1</v>
      </c>
      <c r="I22" s="292"/>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row>
    <row r="24" spans="1:42" s="317" customFormat="1" ht="18.75" x14ac:dyDescent="0.3">
      <c r="A24" s="315" t="s">
        <v>47</v>
      </c>
      <c r="B24" s="316"/>
      <c r="C24" s="316"/>
      <c r="D24" s="981" t="s">
        <v>605</v>
      </c>
      <c r="E24" s="981"/>
      <c r="F24" s="981"/>
      <c r="G24" s="316"/>
      <c r="H24" s="316"/>
      <c r="I24" s="316"/>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row>
    <row r="25" spans="1:42" s="317" customFormat="1" x14ac:dyDescent="0.25">
      <c r="A25" s="316"/>
      <c r="B25" s="316"/>
      <c r="C25" s="316"/>
      <c r="D25" s="316"/>
      <c r="E25" s="316"/>
      <c r="F25" s="316"/>
      <c r="G25" s="316"/>
      <c r="H25" s="316"/>
      <c r="I25" s="316"/>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row>
    <row r="26" spans="1:42" s="317" customFormat="1" x14ac:dyDescent="0.25">
      <c r="A26" s="316"/>
      <c r="B26" s="318" t="s">
        <v>14</v>
      </c>
      <c r="C26" s="318" t="s">
        <v>44</v>
      </c>
      <c r="D26" s="318" t="s">
        <v>7</v>
      </c>
      <c r="E26" s="318" t="s">
        <v>45</v>
      </c>
      <c r="F26" s="318" t="s">
        <v>46</v>
      </c>
      <c r="G26" s="316"/>
      <c r="H26" s="319" t="s">
        <v>13</v>
      </c>
      <c r="I26" s="316"/>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row>
    <row r="27" spans="1:42" s="317" customFormat="1" x14ac:dyDescent="0.25">
      <c r="A27" s="316"/>
      <c r="B27" s="320" t="s">
        <v>939</v>
      </c>
      <c r="C27" s="321">
        <f>'Synthèse ECO'!AE127</f>
        <v>790000</v>
      </c>
      <c r="D27" s="321">
        <f>'Synthèse ECO'!AL127</f>
        <v>200000</v>
      </c>
      <c r="E27" s="321">
        <f t="shared" ref="E27:E32" si="5">C27-D27</f>
        <v>590000</v>
      </c>
      <c r="F27" s="322">
        <f t="shared" ref="F27:F32" si="6">E27/5</f>
        <v>118000</v>
      </c>
      <c r="G27" s="316"/>
      <c r="H27" s="323">
        <f t="shared" ref="H27:H33" si="7">C27/C$33</f>
        <v>0.53020134228187921</v>
      </c>
      <c r="I27" s="316"/>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row>
    <row r="28" spans="1:42" s="317" customFormat="1" x14ac:dyDescent="0.25">
      <c r="A28" s="316"/>
      <c r="B28" s="320" t="s">
        <v>35</v>
      </c>
      <c r="C28" s="321">
        <f>'Synthèse ECO'!AA127</f>
        <v>0</v>
      </c>
      <c r="D28" s="321">
        <f>'Synthèse ECO'!AH127</f>
        <v>0</v>
      </c>
      <c r="E28" s="321">
        <f t="shared" si="5"/>
        <v>0</v>
      </c>
      <c r="F28" s="322">
        <f t="shared" si="6"/>
        <v>0</v>
      </c>
      <c r="G28" s="316"/>
      <c r="H28" s="323">
        <f t="shared" si="7"/>
        <v>0</v>
      </c>
      <c r="I28" s="316"/>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row>
    <row r="29" spans="1:42" s="317" customFormat="1" x14ac:dyDescent="0.25">
      <c r="A29" s="316"/>
      <c r="B29" s="320" t="s">
        <v>32</v>
      </c>
      <c r="C29" s="321">
        <f>'Synthèse ECO'!AC127</f>
        <v>0</v>
      </c>
      <c r="D29" s="321">
        <f>'Synthèse ECO'!AJ127</f>
        <v>0</v>
      </c>
      <c r="E29" s="321">
        <f t="shared" si="5"/>
        <v>0</v>
      </c>
      <c r="F29" s="322">
        <f t="shared" si="6"/>
        <v>0</v>
      </c>
      <c r="G29" s="316"/>
      <c r="H29" s="323">
        <f t="shared" si="7"/>
        <v>0</v>
      </c>
      <c r="I29" s="316"/>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row>
    <row r="30" spans="1:42" s="317" customFormat="1" ht="12" customHeight="1" x14ac:dyDescent="0.25">
      <c r="A30" s="316"/>
      <c r="B30" s="324" t="s">
        <v>339</v>
      </c>
      <c r="C30" s="321">
        <f>'Synthèse ECO'!AD127</f>
        <v>700000</v>
      </c>
      <c r="D30" s="321">
        <f>'Synthèse ECO'!AK127</f>
        <v>60000</v>
      </c>
      <c r="E30" s="321">
        <f t="shared" si="5"/>
        <v>640000</v>
      </c>
      <c r="F30" s="322">
        <f t="shared" si="6"/>
        <v>128000</v>
      </c>
      <c r="G30" s="316"/>
      <c r="H30" s="323">
        <f t="shared" si="7"/>
        <v>0.46979865771812079</v>
      </c>
      <c r="I30" s="316"/>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row>
    <row r="31" spans="1:42" s="317" customFormat="1" x14ac:dyDescent="0.25">
      <c r="A31" s="316"/>
      <c r="B31" s="325" t="s">
        <v>54</v>
      </c>
      <c r="C31" s="321">
        <f>'Synthèse ECO'!AB127</f>
        <v>0</v>
      </c>
      <c r="D31" s="321">
        <f>'Synthèse ECO'!AI127</f>
        <v>0</v>
      </c>
      <c r="E31" s="321">
        <f t="shared" si="5"/>
        <v>0</v>
      </c>
      <c r="F31" s="322">
        <f t="shared" si="6"/>
        <v>0</v>
      </c>
      <c r="G31" s="316"/>
      <c r="H31" s="323">
        <f t="shared" si="7"/>
        <v>0</v>
      </c>
      <c r="I31" s="316"/>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row>
    <row r="32" spans="1:42" s="317" customFormat="1" x14ac:dyDescent="0.25">
      <c r="A32" s="316"/>
      <c r="B32" s="325" t="s">
        <v>38</v>
      </c>
      <c r="C32" s="326">
        <f>'Synthèse ECO'!AF127</f>
        <v>0</v>
      </c>
      <c r="D32" s="321">
        <f>'Synthèse ECO'!AM127</f>
        <v>0</v>
      </c>
      <c r="E32" s="321">
        <f t="shared" si="5"/>
        <v>0</v>
      </c>
      <c r="F32" s="322">
        <f t="shared" si="6"/>
        <v>0</v>
      </c>
      <c r="G32" s="316"/>
      <c r="H32" s="323">
        <f t="shared" si="7"/>
        <v>0</v>
      </c>
      <c r="I32" s="316"/>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row>
    <row r="33" spans="1:42" s="317" customFormat="1" x14ac:dyDescent="0.25">
      <c r="A33" s="316"/>
      <c r="B33" s="327" t="s">
        <v>247</v>
      </c>
      <c r="C33" s="328">
        <f>SUM(C27:C32)</f>
        <v>1490000</v>
      </c>
      <c r="D33" s="329">
        <f>SUM(D27:D32)</f>
        <v>260000</v>
      </c>
      <c r="E33" s="329">
        <f>SUM(E27:E32)</f>
        <v>1230000</v>
      </c>
      <c r="F33" s="329">
        <f>SUM(F27:F32)</f>
        <v>246000</v>
      </c>
      <c r="G33" s="316"/>
      <c r="H33" s="323">
        <f t="shared" si="7"/>
        <v>1</v>
      </c>
      <c r="I33" s="316"/>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row>
    <row r="34" spans="1:42" s="317" customFormat="1" x14ac:dyDescent="0.25">
      <c r="A34" s="316"/>
      <c r="B34" s="316"/>
      <c r="C34" s="316"/>
      <c r="D34" s="316"/>
      <c r="E34" s="316"/>
      <c r="F34" s="316"/>
      <c r="G34" s="316"/>
      <c r="H34" s="316"/>
      <c r="I34" s="316"/>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row>
    <row r="35" spans="1:42" s="317" customFormat="1" ht="18.75" x14ac:dyDescent="0.3">
      <c r="A35" s="315" t="s">
        <v>48</v>
      </c>
      <c r="B35" s="330"/>
      <c r="C35" s="316"/>
      <c r="D35" s="316"/>
      <c r="E35" s="316"/>
      <c r="F35" s="316"/>
      <c r="G35" s="316"/>
      <c r="H35" s="316"/>
      <c r="I35" s="316"/>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row>
    <row r="36" spans="1:42" s="317" customFormat="1" x14ac:dyDescent="0.25">
      <c r="A36" s="316"/>
      <c r="B36" s="316"/>
      <c r="C36" s="316"/>
      <c r="D36" s="316"/>
      <c r="E36" s="316"/>
      <c r="F36" s="316"/>
      <c r="G36" s="316"/>
      <c r="H36" s="316"/>
      <c r="I36" s="316"/>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row>
    <row r="37" spans="1:42" s="317" customFormat="1" x14ac:dyDescent="0.25">
      <c r="A37" s="316"/>
      <c r="B37" s="320" t="s">
        <v>292</v>
      </c>
      <c r="C37" s="318" t="s">
        <v>43</v>
      </c>
      <c r="D37" s="318" t="s">
        <v>7</v>
      </c>
      <c r="E37" s="318" t="s">
        <v>8</v>
      </c>
      <c r="F37" s="318" t="s">
        <v>26</v>
      </c>
      <c r="G37" s="331" t="s">
        <v>27</v>
      </c>
      <c r="H37" s="319" t="s">
        <v>13</v>
      </c>
      <c r="I37" s="316"/>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row>
    <row r="38" spans="1:42" s="317" customFormat="1" x14ac:dyDescent="0.25">
      <c r="A38" s="316"/>
      <c r="B38" s="320" t="s">
        <v>39</v>
      </c>
      <c r="C38" s="321">
        <f>'Synthèse ECO'!AO127</f>
        <v>1490000</v>
      </c>
      <c r="D38" s="321">
        <f>'Synthèse ECO'!AW127</f>
        <v>260000</v>
      </c>
      <c r="E38" s="321">
        <f>'Synthèse ECO'!BE127</f>
        <v>7</v>
      </c>
      <c r="F38" s="321">
        <f>'Synthèse ECO'!BM127</f>
        <v>0</v>
      </c>
      <c r="G38" s="332">
        <f t="shared" ref="G38:G45" si="8">(C38-D38)/(E38+F38)</f>
        <v>175714.28571428571</v>
      </c>
      <c r="H38" s="333">
        <f>C38/C$45</f>
        <v>1</v>
      </c>
      <c r="I38" s="316"/>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row>
    <row r="39" spans="1:42" s="317" customFormat="1" x14ac:dyDescent="0.25">
      <c r="A39" s="316"/>
      <c r="B39" s="320" t="s">
        <v>36</v>
      </c>
      <c r="C39" s="321">
        <f>'Synthèse ECO'!AP127</f>
        <v>0</v>
      </c>
      <c r="D39" s="321">
        <f>'Synthèse ECO'!AX127</f>
        <v>0</v>
      </c>
      <c r="E39" s="321">
        <f>'Synthèse ECO'!BF127</f>
        <v>1</v>
      </c>
      <c r="F39" s="321">
        <f>'Synthèse ECO'!BN127</f>
        <v>0</v>
      </c>
      <c r="G39" s="332">
        <f t="shared" si="8"/>
        <v>0</v>
      </c>
      <c r="H39" s="333">
        <f t="shared" ref="H39:H45" si="9">C39/C$45</f>
        <v>0</v>
      </c>
      <c r="I39" s="316"/>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row>
    <row r="40" spans="1:42" s="317" customFormat="1" x14ac:dyDescent="0.25">
      <c r="A40" s="316"/>
      <c r="B40" s="320" t="s">
        <v>54</v>
      </c>
      <c r="C40" s="321">
        <f>'Synthèse ECO'!AQ127</f>
        <v>0</v>
      </c>
      <c r="D40" s="321">
        <f>'Synthèse ECO'!AY127</f>
        <v>0</v>
      </c>
      <c r="E40" s="321">
        <f>'Synthèse ECO'!BG127</f>
        <v>0</v>
      </c>
      <c r="F40" s="321">
        <f>'Synthèse ECO'!BO127</f>
        <v>0</v>
      </c>
      <c r="G40" s="332" t="e">
        <f t="shared" si="8"/>
        <v>#DIV/0!</v>
      </c>
      <c r="H40" s="333">
        <f t="shared" si="9"/>
        <v>0</v>
      </c>
      <c r="I40" s="316"/>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row>
    <row r="41" spans="1:42" s="317" customFormat="1" x14ac:dyDescent="0.25">
      <c r="A41" s="316"/>
      <c r="B41" s="320" t="s">
        <v>31</v>
      </c>
      <c r="C41" s="321">
        <f>'Synthèse ECO'!AR127</f>
        <v>0</v>
      </c>
      <c r="D41" s="321">
        <f>'Synthèse ECO'!AZ127</f>
        <v>0</v>
      </c>
      <c r="E41" s="321">
        <f>'Synthèse ECO'!BH127</f>
        <v>0</v>
      </c>
      <c r="F41" s="321">
        <f>'Synthèse ECO'!BP127</f>
        <v>0</v>
      </c>
      <c r="G41" s="332" t="e">
        <f t="shared" si="8"/>
        <v>#DIV/0!</v>
      </c>
      <c r="H41" s="333">
        <f t="shared" si="9"/>
        <v>0</v>
      </c>
      <c r="I41" s="316"/>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row>
    <row r="42" spans="1:42" s="317" customFormat="1" x14ac:dyDescent="0.25">
      <c r="A42" s="316"/>
      <c r="B42" s="334" t="s">
        <v>38</v>
      </c>
      <c r="C42" s="321">
        <f>'Synthèse ECO'!AS127</f>
        <v>0</v>
      </c>
      <c r="D42" s="321">
        <f>'Synthèse ECO'!BA127</f>
        <v>0</v>
      </c>
      <c r="E42" s="321">
        <f>'Synthèse ECO'!BI127</f>
        <v>0</v>
      </c>
      <c r="F42" s="321">
        <f>'Synthèse ECO'!BQ127</f>
        <v>0</v>
      </c>
      <c r="G42" s="332" t="e">
        <f t="shared" si="8"/>
        <v>#DIV/0!</v>
      </c>
      <c r="H42" s="333">
        <f t="shared" si="9"/>
        <v>0</v>
      </c>
      <c r="I42" s="316"/>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row>
    <row r="43" spans="1:42" s="317" customFormat="1" x14ac:dyDescent="0.25">
      <c r="A43" s="316"/>
      <c r="B43" s="318" t="s">
        <v>34</v>
      </c>
      <c r="C43" s="335">
        <f>'Synthèse ECO'!AT127</f>
        <v>0</v>
      </c>
      <c r="D43" s="335">
        <f>'Synthèse ECO'!BB127</f>
        <v>0</v>
      </c>
      <c r="E43" s="335">
        <f>'Synthèse ECO'!BJ127</f>
        <v>0</v>
      </c>
      <c r="F43" s="335">
        <f>'Synthèse ECO'!BR127</f>
        <v>0</v>
      </c>
      <c r="G43" s="332" t="e">
        <f t="shared" si="8"/>
        <v>#DIV/0!</v>
      </c>
      <c r="H43" s="333">
        <f t="shared" si="9"/>
        <v>0</v>
      </c>
      <c r="I43" s="316"/>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row>
    <row r="44" spans="1:42" s="317" customFormat="1" x14ac:dyDescent="0.25">
      <c r="A44" s="316"/>
      <c r="B44" s="324" t="s">
        <v>37</v>
      </c>
      <c r="C44" s="321">
        <f>'Synthèse ECO'!AU127</f>
        <v>0</v>
      </c>
      <c r="D44" s="321">
        <f>'Synthèse ECO'!BC127</f>
        <v>0</v>
      </c>
      <c r="E44" s="321">
        <f>'Synthèse ECO'!BK127</f>
        <v>0</v>
      </c>
      <c r="F44" s="321">
        <f>'Synthèse ECO'!BS127</f>
        <v>0</v>
      </c>
      <c r="G44" s="332" t="e">
        <f t="shared" si="8"/>
        <v>#DIV/0!</v>
      </c>
      <c r="H44" s="333">
        <f t="shared" si="9"/>
        <v>0</v>
      </c>
      <c r="I44" s="316"/>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row>
    <row r="45" spans="1:42" s="317" customFormat="1" x14ac:dyDescent="0.25">
      <c r="A45" s="316"/>
      <c r="B45" s="327" t="s">
        <v>247</v>
      </c>
      <c r="C45" s="336">
        <f>SUM(C38:C44)</f>
        <v>1490000</v>
      </c>
      <c r="D45" s="336">
        <f>SUM(D38:D44)</f>
        <v>260000</v>
      </c>
      <c r="E45" s="336">
        <f>SUM(E38:E44)</f>
        <v>8</v>
      </c>
      <c r="F45" s="336">
        <f>SUM(F38:F44)</f>
        <v>0</v>
      </c>
      <c r="G45" s="337">
        <f t="shared" si="8"/>
        <v>153750</v>
      </c>
      <c r="H45" s="333">
        <f t="shared" si="9"/>
        <v>1</v>
      </c>
      <c r="I45" s="316"/>
      <c r="J45" s="293"/>
      <c r="K45" s="293"/>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row>
    <row r="47" spans="1:42" s="340" customFormat="1" ht="18.75" x14ac:dyDescent="0.3">
      <c r="A47" s="338" t="s">
        <v>47</v>
      </c>
      <c r="B47" s="339"/>
      <c r="C47" s="339"/>
      <c r="D47" s="982" t="s">
        <v>606</v>
      </c>
      <c r="E47" s="982"/>
      <c r="F47" s="982"/>
      <c r="G47" s="339"/>
      <c r="H47" s="339"/>
      <c r="I47" s="339"/>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row>
    <row r="48" spans="1:42" s="340" customFormat="1" x14ac:dyDescent="0.25">
      <c r="A48" s="339"/>
      <c r="B48" s="339"/>
      <c r="C48" s="339"/>
      <c r="D48" s="339"/>
      <c r="E48" s="339"/>
      <c r="F48" s="339"/>
      <c r="G48" s="339"/>
      <c r="H48" s="339"/>
      <c r="I48" s="339"/>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row>
    <row r="49" spans="1:42" s="340" customFormat="1" x14ac:dyDescent="0.25">
      <c r="A49" s="339"/>
      <c r="B49" s="341" t="s">
        <v>14</v>
      </c>
      <c r="C49" s="341" t="s">
        <v>44</v>
      </c>
      <c r="D49" s="341" t="s">
        <v>7</v>
      </c>
      <c r="E49" s="341" t="s">
        <v>45</v>
      </c>
      <c r="F49" s="341" t="s">
        <v>46</v>
      </c>
      <c r="G49" s="339"/>
      <c r="H49" s="342" t="s">
        <v>13</v>
      </c>
      <c r="I49" s="339"/>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row>
    <row r="50" spans="1:42" s="340" customFormat="1" x14ac:dyDescent="0.25">
      <c r="A50" s="339"/>
      <c r="B50" s="343" t="str">
        <f t="shared" ref="B50:B55" si="10">B4</f>
        <v>AC MESSANCY</v>
      </c>
      <c r="C50" s="344">
        <f>C27+C4</f>
        <v>958000</v>
      </c>
      <c r="D50" s="344">
        <f>D27+D4</f>
        <v>230000</v>
      </c>
      <c r="E50" s="344">
        <f t="shared" ref="E50:E55" si="11">C50-D50</f>
        <v>728000</v>
      </c>
      <c r="F50" s="345">
        <f t="shared" ref="F50:F55" si="12">E50/5</f>
        <v>145600</v>
      </c>
      <c r="G50" s="339"/>
      <c r="H50" s="346">
        <f>C50/C$56</f>
        <v>0.57780458383594691</v>
      </c>
      <c r="I50" s="339"/>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row>
    <row r="51" spans="1:42" s="340" customFormat="1" x14ac:dyDescent="0.25">
      <c r="A51" s="339"/>
      <c r="B51" s="343" t="str">
        <f t="shared" si="10"/>
        <v>Agriculteurs</v>
      </c>
      <c r="C51" s="344">
        <f t="shared" ref="C51:D55" si="13">C28+C5</f>
        <v>0</v>
      </c>
      <c r="D51" s="344">
        <f t="shared" si="13"/>
        <v>0</v>
      </c>
      <c r="E51" s="344">
        <f t="shared" si="11"/>
        <v>0</v>
      </c>
      <c r="F51" s="345">
        <f t="shared" si="12"/>
        <v>0</v>
      </c>
      <c r="G51" s="339"/>
      <c r="H51" s="346">
        <f t="shared" ref="H51:H56" si="14">C51/C$56</f>
        <v>0</v>
      </c>
      <c r="I51" s="339"/>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row>
    <row r="52" spans="1:42" s="340" customFormat="1" x14ac:dyDescent="0.25">
      <c r="A52" s="339"/>
      <c r="B52" s="343" t="str">
        <f t="shared" si="10"/>
        <v>Citoyens</v>
      </c>
      <c r="C52" s="344">
        <f t="shared" si="13"/>
        <v>0</v>
      </c>
      <c r="D52" s="344">
        <f t="shared" si="13"/>
        <v>0</v>
      </c>
      <c r="E52" s="344">
        <f t="shared" si="11"/>
        <v>0</v>
      </c>
      <c r="F52" s="345">
        <f t="shared" si="12"/>
        <v>0</v>
      </c>
      <c r="G52" s="339"/>
      <c r="H52" s="346">
        <f t="shared" si="14"/>
        <v>0</v>
      </c>
      <c r="I52" s="339"/>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row>
    <row r="53" spans="1:42" s="340" customFormat="1" x14ac:dyDescent="0.25">
      <c r="A53" s="339"/>
      <c r="B53" s="343" t="str">
        <f t="shared" si="10"/>
        <v>IDELUX</v>
      </c>
      <c r="C53" s="344">
        <f t="shared" si="13"/>
        <v>700000</v>
      </c>
      <c r="D53" s="344">
        <f t="shared" si="13"/>
        <v>60000</v>
      </c>
      <c r="E53" s="344">
        <f t="shared" si="11"/>
        <v>640000</v>
      </c>
      <c r="F53" s="345">
        <f t="shared" si="12"/>
        <v>128000</v>
      </c>
      <c r="G53" s="339"/>
      <c r="H53" s="346">
        <f t="shared" si="14"/>
        <v>0.42219541616405309</v>
      </c>
      <c r="I53" s="339"/>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row>
    <row r="54" spans="1:42" s="340" customFormat="1" x14ac:dyDescent="0.25">
      <c r="A54" s="339"/>
      <c r="B54" s="343" t="str">
        <f t="shared" si="10"/>
        <v>Industrie</v>
      </c>
      <c r="C54" s="344">
        <f t="shared" si="13"/>
        <v>0</v>
      </c>
      <c r="D54" s="344">
        <f t="shared" si="13"/>
        <v>0</v>
      </c>
      <c r="E54" s="344">
        <f t="shared" si="11"/>
        <v>0</v>
      </c>
      <c r="F54" s="345">
        <f t="shared" si="12"/>
        <v>0</v>
      </c>
      <c r="G54" s="339"/>
      <c r="H54" s="346">
        <f t="shared" si="14"/>
        <v>0</v>
      </c>
      <c r="I54" s="339"/>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row>
    <row r="55" spans="1:42" s="340" customFormat="1" x14ac:dyDescent="0.25">
      <c r="A55" s="339"/>
      <c r="B55" s="343" t="str">
        <f t="shared" si="10"/>
        <v>Tertiaire</v>
      </c>
      <c r="C55" s="344">
        <f t="shared" si="13"/>
        <v>0</v>
      </c>
      <c r="D55" s="344">
        <f t="shared" si="13"/>
        <v>0</v>
      </c>
      <c r="E55" s="344">
        <f t="shared" si="11"/>
        <v>0</v>
      </c>
      <c r="F55" s="345">
        <f t="shared" si="12"/>
        <v>0</v>
      </c>
      <c r="G55" s="339"/>
      <c r="H55" s="346">
        <f t="shared" si="14"/>
        <v>0</v>
      </c>
      <c r="I55" s="339"/>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row>
    <row r="56" spans="1:42" s="340" customFormat="1" x14ac:dyDescent="0.25">
      <c r="A56" s="339"/>
      <c r="B56" s="347" t="s">
        <v>247</v>
      </c>
      <c r="C56" s="348">
        <f>SUM(C50:C55)</f>
        <v>1658000</v>
      </c>
      <c r="D56" s="349">
        <f>SUM(D50:D55)</f>
        <v>290000</v>
      </c>
      <c r="E56" s="349">
        <f>SUM(E50:E55)</f>
        <v>1368000</v>
      </c>
      <c r="F56" s="349">
        <f>SUM(F50:F55)</f>
        <v>273600</v>
      </c>
      <c r="G56" s="339"/>
      <c r="H56" s="346">
        <f t="shared" si="14"/>
        <v>1</v>
      </c>
      <c r="I56" s="339"/>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row>
    <row r="57" spans="1:42" s="340" customFormat="1" x14ac:dyDescent="0.25">
      <c r="A57" s="339"/>
      <c r="B57" s="339"/>
      <c r="C57" s="339"/>
      <c r="D57" s="339"/>
      <c r="E57" s="339"/>
      <c r="F57" s="339"/>
      <c r="G57" s="339"/>
      <c r="H57" s="339"/>
      <c r="I57" s="339"/>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row>
    <row r="58" spans="1:42" s="340" customFormat="1" ht="18.75" x14ac:dyDescent="0.3">
      <c r="A58" s="338" t="s">
        <v>48</v>
      </c>
      <c r="B58" s="350"/>
      <c r="C58" s="339"/>
      <c r="D58" s="339"/>
      <c r="E58" s="339"/>
      <c r="F58" s="339"/>
      <c r="G58" s="339"/>
      <c r="H58" s="339"/>
      <c r="I58" s="339"/>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row>
    <row r="59" spans="1:42" s="340" customFormat="1" x14ac:dyDescent="0.25">
      <c r="A59" s="339"/>
      <c r="B59" s="339"/>
      <c r="C59" s="339"/>
      <c r="D59" s="339"/>
      <c r="E59" s="339"/>
      <c r="F59" s="339"/>
      <c r="G59" s="339"/>
      <c r="H59" s="339"/>
      <c r="I59" s="339"/>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row>
    <row r="60" spans="1:42" s="340" customFormat="1" x14ac:dyDescent="0.25">
      <c r="A60" s="339"/>
      <c r="B60" s="343" t="s">
        <v>292</v>
      </c>
      <c r="C60" s="341" t="s">
        <v>43</v>
      </c>
      <c r="D60" s="341" t="s">
        <v>7</v>
      </c>
      <c r="E60" s="341" t="s">
        <v>8</v>
      </c>
      <c r="F60" s="341" t="s">
        <v>26</v>
      </c>
      <c r="G60" s="351" t="s">
        <v>27</v>
      </c>
      <c r="H60" s="342" t="s">
        <v>13</v>
      </c>
      <c r="I60" s="339"/>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row>
    <row r="61" spans="1:42" s="340" customFormat="1" x14ac:dyDescent="0.25">
      <c r="A61" s="339"/>
      <c r="B61" s="343" t="str">
        <f>B38</f>
        <v>Territorial</v>
      </c>
      <c r="C61" s="352">
        <f>C38+C15</f>
        <v>1658000</v>
      </c>
      <c r="D61" s="352">
        <f>D38+D15</f>
        <v>290000</v>
      </c>
      <c r="E61" s="352">
        <f>E38+E15</f>
        <v>13</v>
      </c>
      <c r="F61" s="352">
        <f>F38+F15</f>
        <v>0</v>
      </c>
      <c r="G61" s="353">
        <f t="shared" ref="G61:G68" si="15">(C61-D61)/(E61+F61)</f>
        <v>105230.76923076923</v>
      </c>
      <c r="H61" s="346">
        <f>C61/C$68</f>
        <v>1</v>
      </c>
      <c r="I61" s="339"/>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row>
    <row r="62" spans="1:42" s="340" customFormat="1" x14ac:dyDescent="0.25">
      <c r="A62" s="339"/>
      <c r="B62" s="343" t="str">
        <f t="shared" ref="B62:B67" si="16">B39</f>
        <v>Agriculture</v>
      </c>
      <c r="C62" s="352">
        <f t="shared" ref="C62:F67" si="17">C39+C16</f>
        <v>0</v>
      </c>
      <c r="D62" s="352">
        <f t="shared" si="17"/>
        <v>0</v>
      </c>
      <c r="E62" s="352">
        <f t="shared" si="17"/>
        <v>1</v>
      </c>
      <c r="F62" s="352">
        <f t="shared" si="17"/>
        <v>0</v>
      </c>
      <c r="G62" s="353">
        <f t="shared" si="15"/>
        <v>0</v>
      </c>
      <c r="H62" s="346">
        <f t="shared" ref="H62:H68" si="18">C62/C$68</f>
        <v>0</v>
      </c>
      <c r="I62" s="339"/>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row>
    <row r="63" spans="1:42" s="340" customFormat="1" x14ac:dyDescent="0.25">
      <c r="A63" s="339"/>
      <c r="B63" s="343" t="str">
        <f t="shared" si="16"/>
        <v>Industrie</v>
      </c>
      <c r="C63" s="352">
        <f t="shared" si="17"/>
        <v>0</v>
      </c>
      <c r="D63" s="352">
        <f t="shared" si="17"/>
        <v>0</v>
      </c>
      <c r="E63" s="352">
        <f t="shared" si="17"/>
        <v>0</v>
      </c>
      <c r="F63" s="352">
        <f t="shared" si="17"/>
        <v>0</v>
      </c>
      <c r="G63" s="353" t="e">
        <f t="shared" si="15"/>
        <v>#DIV/0!</v>
      </c>
      <c r="H63" s="346">
        <f t="shared" si="18"/>
        <v>0</v>
      </c>
      <c r="I63" s="339"/>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row>
    <row r="64" spans="1:42" s="340" customFormat="1" x14ac:dyDescent="0.25">
      <c r="A64" s="339"/>
      <c r="B64" s="343" t="str">
        <f t="shared" si="16"/>
        <v>Logement</v>
      </c>
      <c r="C64" s="352">
        <f t="shared" si="17"/>
        <v>0</v>
      </c>
      <c r="D64" s="352">
        <f t="shared" si="17"/>
        <v>0</v>
      </c>
      <c r="E64" s="352">
        <f t="shared" si="17"/>
        <v>0</v>
      </c>
      <c r="F64" s="352">
        <f t="shared" si="17"/>
        <v>0</v>
      </c>
      <c r="G64" s="353" t="e">
        <f t="shared" si="15"/>
        <v>#DIV/0!</v>
      </c>
      <c r="H64" s="346">
        <f t="shared" si="18"/>
        <v>0</v>
      </c>
      <c r="I64" s="339"/>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row>
    <row r="65" spans="1:42" s="340" customFormat="1" x14ac:dyDescent="0.25">
      <c r="A65" s="339"/>
      <c r="B65" s="343" t="str">
        <f t="shared" si="16"/>
        <v>Tertiaire</v>
      </c>
      <c r="C65" s="352">
        <f t="shared" si="17"/>
        <v>0</v>
      </c>
      <c r="D65" s="352">
        <f>D42+D19</f>
        <v>0</v>
      </c>
      <c r="E65" s="352">
        <f t="shared" si="17"/>
        <v>0</v>
      </c>
      <c r="F65" s="352">
        <f t="shared" si="17"/>
        <v>0</v>
      </c>
      <c r="G65" s="353" t="e">
        <f t="shared" si="15"/>
        <v>#DIV/0!</v>
      </c>
      <c r="H65" s="346">
        <f t="shared" si="18"/>
        <v>0</v>
      </c>
      <c r="I65" s="339"/>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row>
    <row r="66" spans="1:42" s="340" customFormat="1" x14ac:dyDescent="0.25">
      <c r="A66" s="339"/>
      <c r="B66" s="343" t="str">
        <f t="shared" si="16"/>
        <v>Transport</v>
      </c>
      <c r="C66" s="352">
        <f t="shared" si="17"/>
        <v>0</v>
      </c>
      <c r="D66" s="352">
        <f t="shared" si="17"/>
        <v>0</v>
      </c>
      <c r="E66" s="352">
        <f t="shared" si="17"/>
        <v>0</v>
      </c>
      <c r="F66" s="352">
        <f t="shared" si="17"/>
        <v>0</v>
      </c>
      <c r="G66" s="353" t="e">
        <f t="shared" si="15"/>
        <v>#DIV/0!</v>
      </c>
      <c r="H66" s="346">
        <f t="shared" si="18"/>
        <v>0</v>
      </c>
      <c r="I66" s="339"/>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row>
    <row r="67" spans="1:42" s="340" customFormat="1" x14ac:dyDescent="0.25">
      <c r="A67" s="339"/>
      <c r="B67" s="343" t="str">
        <f t="shared" si="16"/>
        <v>Communal</v>
      </c>
      <c r="C67" s="352">
        <f t="shared" si="17"/>
        <v>0</v>
      </c>
      <c r="D67" s="352">
        <f t="shared" si="17"/>
        <v>0</v>
      </c>
      <c r="E67" s="352">
        <f t="shared" si="17"/>
        <v>0</v>
      </c>
      <c r="F67" s="352">
        <f t="shared" si="17"/>
        <v>0</v>
      </c>
      <c r="G67" s="353" t="e">
        <f t="shared" si="15"/>
        <v>#DIV/0!</v>
      </c>
      <c r="H67" s="346">
        <f t="shared" si="18"/>
        <v>0</v>
      </c>
      <c r="I67" s="339"/>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row>
    <row r="68" spans="1:42" s="340" customFormat="1" x14ac:dyDescent="0.25">
      <c r="A68" s="339"/>
      <c r="B68" s="347" t="s">
        <v>247</v>
      </c>
      <c r="C68" s="354">
        <f>SUM(C61:C67)</f>
        <v>1658000</v>
      </c>
      <c r="D68" s="354">
        <f>SUM(D61:D67)</f>
        <v>290000</v>
      </c>
      <c r="E68" s="354">
        <f>SUM(E61:E67)</f>
        <v>14</v>
      </c>
      <c r="F68" s="354">
        <f>SUM(F61:F67)</f>
        <v>0</v>
      </c>
      <c r="G68" s="355">
        <f t="shared" si="15"/>
        <v>97714.28571428571</v>
      </c>
      <c r="H68" s="346">
        <f t="shared" si="18"/>
        <v>1</v>
      </c>
      <c r="I68" s="339"/>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row>
  </sheetData>
  <mergeCells count="3">
    <mergeCell ref="D1:F1"/>
    <mergeCell ref="D24:F24"/>
    <mergeCell ref="D47:F47"/>
  </mergeCells>
  <conditionalFormatting sqref="L11:L24 L2:L9 K2:K24">
    <cfRule type="containsText" dxfId="380" priority="4" operator="containsText" text="Terminé">
      <formula>NOT(ISERROR(SEARCH("Terminé",K2)))</formula>
    </cfRule>
    <cfRule type="containsText" dxfId="379" priority="5" operator="containsText" text="En cours">
      <formula>NOT(ISERROR(SEARCH("En cours",K2)))</formula>
    </cfRule>
    <cfRule type="containsText" dxfId="378" priority="6" operator="containsText" text="A faire">
      <formula>NOT(ISERROR(SEARCH("A faire",K2)))</formula>
    </cfRule>
  </conditionalFormatting>
  <conditionalFormatting sqref="L10">
    <cfRule type="containsText" dxfId="377" priority="1" operator="containsText" text="Terminé">
      <formula>NOT(ISERROR(SEARCH("Terminé",L10)))</formula>
    </cfRule>
    <cfRule type="containsText" dxfId="376" priority="2" operator="containsText" text="En cours">
      <formula>NOT(ISERROR(SEARCH("En cours",L10)))</formula>
    </cfRule>
    <cfRule type="containsText" dxfId="375" priority="3" operator="containsText" text="A faire">
      <formula>NOT(ISERROR(SEARCH("A faire",L10)))</formula>
    </cfRule>
  </conditionalFormatting>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0"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1039</v>
      </c>
      <c r="C2" s="1068"/>
      <c r="D2" s="1068"/>
      <c r="E2" s="1068"/>
      <c r="F2" s="7"/>
      <c r="G2" s="986" t="s">
        <v>751</v>
      </c>
      <c r="H2" s="986"/>
    </row>
    <row r="3" spans="1:28" ht="19.5" customHeight="1" x14ac:dyDescent="0.25">
      <c r="A3" s="579" t="s">
        <v>743</v>
      </c>
      <c r="B3" s="987" t="s">
        <v>746</v>
      </c>
      <c r="C3" s="987"/>
      <c r="D3" s="987"/>
      <c r="E3" s="987"/>
      <c r="F3" s="7"/>
      <c r="G3" s="986" t="s">
        <v>752</v>
      </c>
      <c r="H3" s="986"/>
    </row>
    <row r="4" spans="1:28" ht="19.5" customHeight="1" x14ac:dyDescent="0.25">
      <c r="A4" s="580" t="s">
        <v>292</v>
      </c>
      <c r="B4" s="996" t="s">
        <v>34</v>
      </c>
      <c r="C4" s="996"/>
      <c r="D4" s="996"/>
      <c r="E4" s="996"/>
      <c r="F4" s="7"/>
      <c r="G4" s="986" t="s">
        <v>753</v>
      </c>
      <c r="H4" s="986"/>
    </row>
    <row r="5" spans="1:28" ht="19.5" customHeight="1" x14ac:dyDescent="0.25">
      <c r="A5" s="580"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581"/>
      <c r="AA7" s="582"/>
      <c r="AB7" s="357"/>
    </row>
    <row r="8" spans="1:28" ht="24" customHeight="1" x14ac:dyDescent="0.25">
      <c r="A8" s="589" t="s">
        <v>1</v>
      </c>
      <c r="B8" s="967" t="s">
        <v>1043</v>
      </c>
      <c r="C8" s="967"/>
      <c r="D8" s="967"/>
      <c r="E8" s="967"/>
      <c r="G8" s="997" t="s">
        <v>936</v>
      </c>
      <c r="Z8" s="1028" t="s">
        <v>611</v>
      </c>
      <c r="AA8" s="1029"/>
      <c r="AB8" s="357">
        <v>0.26819999999999999</v>
      </c>
    </row>
    <row r="9" spans="1:28" ht="24" customHeight="1" x14ac:dyDescent="0.25">
      <c r="A9" s="589" t="s">
        <v>0</v>
      </c>
      <c r="B9" s="1111" t="s">
        <v>1320</v>
      </c>
      <c r="C9" s="1112"/>
      <c r="D9" s="1112"/>
      <c r="E9" s="1113"/>
      <c r="G9" s="997"/>
      <c r="Z9" s="1028" t="s">
        <v>612</v>
      </c>
      <c r="AA9" s="1029"/>
      <c r="AB9" s="357">
        <v>3.1300000000000001E-2</v>
      </c>
    </row>
    <row r="10" spans="1:28" ht="40.5" customHeight="1" x14ac:dyDescent="0.25">
      <c r="A10" s="589" t="s">
        <v>2</v>
      </c>
      <c r="B10" s="1111" t="s">
        <v>1046</v>
      </c>
      <c r="C10" s="1112"/>
      <c r="D10" s="1112"/>
      <c r="E10" s="1113"/>
      <c r="G10" s="997"/>
      <c r="M10" s="7"/>
      <c r="Z10" s="1028"/>
      <c r="AA10" s="1029"/>
      <c r="AB10" s="357"/>
    </row>
    <row r="11" spans="1:28" ht="15.75" x14ac:dyDescent="0.25">
      <c r="A11" s="589" t="s">
        <v>29</v>
      </c>
      <c r="B11" s="1035"/>
      <c r="C11" s="1035"/>
      <c r="D11" s="1035"/>
      <c r="E11" s="1035"/>
      <c r="G11" s="254">
        <v>5</v>
      </c>
      <c r="H11" s="131" t="s">
        <v>570</v>
      </c>
      <c r="Z11" s="1028" t="s">
        <v>613</v>
      </c>
      <c r="AA11" s="1029"/>
      <c r="AB11" s="357">
        <v>0.26819999999999999</v>
      </c>
    </row>
    <row r="12" spans="1:28" ht="30" customHeight="1" x14ac:dyDescent="0.25">
      <c r="A12" s="589" t="s">
        <v>14</v>
      </c>
      <c r="B12" s="1010" t="s">
        <v>939</v>
      </c>
      <c r="C12" s="1010"/>
      <c r="D12" s="1010"/>
      <c r="E12" s="1010"/>
      <c r="Z12" s="1028" t="s">
        <v>614</v>
      </c>
      <c r="AA12" s="1029"/>
      <c r="AB12" s="357">
        <v>1.18E-2</v>
      </c>
    </row>
    <row r="13" spans="1:28" ht="30" customHeight="1" x14ac:dyDescent="0.25">
      <c r="A13" s="589" t="s">
        <v>3</v>
      </c>
      <c r="B13" s="1011" t="s">
        <v>943</v>
      </c>
      <c r="C13" s="1011"/>
      <c r="D13" s="1011"/>
      <c r="E13" s="1011"/>
      <c r="G13" s="59" t="s">
        <v>225</v>
      </c>
      <c r="H13" s="60" t="s">
        <v>226</v>
      </c>
      <c r="I13" s="60" t="s">
        <v>109</v>
      </c>
      <c r="J13" s="60" t="s">
        <v>227</v>
      </c>
      <c r="K13" s="60" t="s">
        <v>1045</v>
      </c>
      <c r="L13" s="60" t="s">
        <v>150</v>
      </c>
      <c r="M13" s="60" t="s">
        <v>228</v>
      </c>
      <c r="N13" s="60" t="s">
        <v>229</v>
      </c>
      <c r="O13" s="60" t="s">
        <v>230</v>
      </c>
      <c r="Z13" s="1028" t="s">
        <v>615</v>
      </c>
      <c r="AA13" s="1029"/>
      <c r="AB13" s="358">
        <f>AB15/0.55</f>
        <v>0.50363636363636366</v>
      </c>
    </row>
    <row r="14" spans="1:28" ht="30" customHeight="1" x14ac:dyDescent="0.25">
      <c r="A14" s="589" t="s">
        <v>15</v>
      </c>
      <c r="B14" s="1010"/>
      <c r="C14" s="1010"/>
      <c r="D14" s="1010"/>
      <c r="E14" s="1010"/>
      <c r="G14" s="586">
        <f>G11</f>
        <v>5</v>
      </c>
      <c r="H14" s="587">
        <v>15490</v>
      </c>
      <c r="I14" s="587">
        <v>15</v>
      </c>
      <c r="J14" s="587">
        <v>1.6</v>
      </c>
      <c r="K14" s="587">
        <v>0.3</v>
      </c>
      <c r="L14" s="587">
        <f>AB8</f>
        <v>0.26819999999999999</v>
      </c>
      <c r="M14" s="587">
        <v>0.2</v>
      </c>
      <c r="N14" s="587">
        <v>0.98</v>
      </c>
      <c r="O14" s="63">
        <f>AB15</f>
        <v>0.27700000000000002</v>
      </c>
      <c r="Z14" s="1028" t="s">
        <v>616</v>
      </c>
      <c r="AA14" s="1029"/>
      <c r="AB14" s="357">
        <v>0.26819999999999999</v>
      </c>
    </row>
    <row r="15" spans="1:28" ht="30" customHeight="1" x14ac:dyDescent="0.25">
      <c r="A15" s="589" t="s">
        <v>4</v>
      </c>
      <c r="B15" s="1010">
        <v>2020</v>
      </c>
      <c r="C15" s="1010"/>
      <c r="D15" s="1010"/>
      <c r="E15" s="1010"/>
      <c r="G15" s="190"/>
      <c r="H15" s="190"/>
      <c r="I15" s="587">
        <v>100</v>
      </c>
      <c r="J15" s="190"/>
      <c r="K15" s="190"/>
      <c r="L15" s="190"/>
      <c r="M15" s="190"/>
      <c r="N15" s="190"/>
      <c r="O15" s="190"/>
      <c r="Z15" s="1028" t="s">
        <v>578</v>
      </c>
      <c r="AA15" s="1029"/>
      <c r="AB15" s="357">
        <v>0.27700000000000002</v>
      </c>
    </row>
    <row r="16" spans="1:28" ht="30" customHeight="1" x14ac:dyDescent="0.25">
      <c r="A16" s="589" t="s">
        <v>5</v>
      </c>
      <c r="B16" s="1010">
        <v>2030</v>
      </c>
      <c r="C16" s="1010"/>
      <c r="D16" s="1010"/>
      <c r="E16" s="1010"/>
      <c r="G16" s="190"/>
      <c r="H16" s="190"/>
      <c r="I16" s="190"/>
      <c r="J16" s="190"/>
      <c r="K16" s="190"/>
      <c r="L16" s="190"/>
      <c r="M16" s="190"/>
      <c r="N16" s="190"/>
      <c r="O16" s="190"/>
      <c r="Z16" s="1028" t="s">
        <v>579</v>
      </c>
      <c r="AA16" s="1029"/>
      <c r="AB16" s="357">
        <v>0.20269999999999999</v>
      </c>
    </row>
    <row r="17" spans="1:15" ht="30" customHeight="1" x14ac:dyDescent="0.25">
      <c r="A17" s="589" t="s">
        <v>6</v>
      </c>
      <c r="B17" s="1000">
        <f>G11*H19</f>
        <v>150000</v>
      </c>
      <c r="C17" s="1000"/>
      <c r="D17" s="1000"/>
      <c r="E17" s="1000"/>
      <c r="G17" s="190"/>
      <c r="H17" s="1107" t="s">
        <v>492</v>
      </c>
      <c r="I17" s="1107"/>
      <c r="J17" s="1107" t="s">
        <v>493</v>
      </c>
      <c r="K17" s="1107"/>
      <c r="L17" s="190"/>
      <c r="M17" s="190"/>
      <c r="N17" s="190"/>
      <c r="O17" s="190"/>
    </row>
    <row r="18" spans="1:15" ht="30" customHeight="1" x14ac:dyDescent="0.25">
      <c r="A18" s="589" t="s">
        <v>7</v>
      </c>
      <c r="B18" s="1000">
        <v>0</v>
      </c>
      <c r="C18" s="1000"/>
      <c r="D18" s="1000"/>
      <c r="E18" s="1000"/>
      <c r="G18" s="190"/>
      <c r="H18" s="1107"/>
      <c r="I18" s="1107"/>
      <c r="J18" s="1107"/>
      <c r="K18" s="1107"/>
      <c r="L18" s="9"/>
      <c r="M18" s="190"/>
      <c r="N18" s="190"/>
      <c r="O18" s="190"/>
    </row>
    <row r="19" spans="1:15" ht="30" customHeight="1" x14ac:dyDescent="0.25">
      <c r="A19" s="99" t="s">
        <v>307</v>
      </c>
      <c r="B19" s="1117">
        <f>H14*I14/I15*K14*10*G14</f>
        <v>34852.5</v>
      </c>
      <c r="C19" s="1118"/>
      <c r="D19" s="1118"/>
      <c r="E19" s="1118"/>
      <c r="G19" s="190"/>
      <c r="H19" s="1107">
        <v>30000</v>
      </c>
      <c r="I19" s="1107"/>
      <c r="J19" s="1107">
        <v>20000</v>
      </c>
      <c r="K19" s="1107"/>
      <c r="L19" s="9"/>
      <c r="M19" s="190"/>
      <c r="N19" s="190"/>
      <c r="O19" s="190"/>
    </row>
    <row r="20" spans="1:15" ht="30" customHeight="1" x14ac:dyDescent="0.25">
      <c r="A20" s="96" t="s">
        <v>306</v>
      </c>
      <c r="B20" s="1115">
        <v>0</v>
      </c>
      <c r="C20" s="1116"/>
      <c r="D20" s="1116"/>
      <c r="E20" s="1116"/>
      <c r="G20" s="190"/>
      <c r="H20" s="1107"/>
      <c r="I20" s="1107"/>
      <c r="J20" s="1107"/>
      <c r="K20" s="1107"/>
      <c r="L20" s="9"/>
      <c r="M20" s="190"/>
      <c r="N20" s="190"/>
      <c r="O20" s="190"/>
    </row>
    <row r="21" spans="1:15" ht="30" customHeight="1" x14ac:dyDescent="0.25">
      <c r="A21" s="589" t="s">
        <v>8</v>
      </c>
      <c r="B21" s="1012">
        <f>B19/10*J14</f>
        <v>5576.4000000000005</v>
      </c>
      <c r="C21" s="1012"/>
      <c r="D21" s="1012"/>
      <c r="E21" s="1012"/>
      <c r="G21" s="190"/>
      <c r="J21" s="190" t="s">
        <v>494</v>
      </c>
      <c r="K21" s="9"/>
      <c r="L21" s="9"/>
      <c r="M21" s="190"/>
      <c r="N21" s="190"/>
      <c r="O21" s="190"/>
    </row>
    <row r="22" spans="1:15" ht="30" customHeight="1" x14ac:dyDescent="0.25">
      <c r="A22" s="589" t="s">
        <v>9</v>
      </c>
      <c r="B22" s="1012"/>
      <c r="C22" s="1012"/>
      <c r="D22" s="1012"/>
      <c r="E22" s="1012"/>
      <c r="G22" s="1108" t="s">
        <v>231</v>
      </c>
      <c r="H22" s="1108"/>
      <c r="I22" s="75">
        <f>B22/10*J14+J22</f>
        <v>4000</v>
      </c>
      <c r="J22" s="211">
        <f>G14*800</f>
        <v>4000</v>
      </c>
      <c r="K22" s="190"/>
      <c r="L22" s="190"/>
      <c r="M22" s="190"/>
      <c r="N22" s="190"/>
      <c r="O22" s="190"/>
    </row>
    <row r="23" spans="1:15" ht="30" customHeight="1" x14ac:dyDescent="0.25">
      <c r="A23" s="589" t="s">
        <v>301</v>
      </c>
      <c r="B23" s="1016">
        <f>(B17-J16*G11)/(B21+B22)</f>
        <v>26.899074671831286</v>
      </c>
      <c r="C23" s="1016"/>
      <c r="D23" s="1016"/>
      <c r="E23" s="1016"/>
      <c r="G23" s="1108" t="s">
        <v>232</v>
      </c>
      <c r="H23" s="1108"/>
      <c r="I23" s="75"/>
      <c r="J23" s="211">
        <f>G14*100</f>
        <v>500</v>
      </c>
      <c r="K23" s="190"/>
      <c r="L23" s="190"/>
      <c r="M23" s="190"/>
      <c r="N23" s="190"/>
      <c r="O23" s="190"/>
    </row>
    <row r="24" spans="1:15" ht="30" customHeight="1" x14ac:dyDescent="0.25">
      <c r="A24" s="589" t="s">
        <v>302</v>
      </c>
      <c r="B24" s="1048">
        <f>(B17-(J16*G11)-B18)/(B21+B22)</f>
        <v>26.899074671831286</v>
      </c>
      <c r="C24" s="1048"/>
      <c r="D24" s="1048"/>
      <c r="E24" s="1048"/>
      <c r="G24" s="190"/>
      <c r="H24" s="190"/>
      <c r="I24" s="190"/>
      <c r="J24" s="190"/>
      <c r="K24" s="190"/>
      <c r="L24" s="190"/>
      <c r="M24" s="190"/>
      <c r="N24" s="190"/>
      <c r="O24" s="190"/>
    </row>
    <row r="25" spans="1:15" ht="30" customHeight="1" x14ac:dyDescent="0.25">
      <c r="A25" s="100" t="s">
        <v>305</v>
      </c>
      <c r="B25" s="1119">
        <f>B19/1000*L14</f>
        <v>9.3474404999999994</v>
      </c>
      <c r="C25" s="1119"/>
      <c r="D25" s="1119"/>
      <c r="E25" s="1119"/>
      <c r="G25" s="1109" t="s">
        <v>233</v>
      </c>
      <c r="H25" s="1109"/>
      <c r="I25" s="588">
        <f>H14*I14/I15*10*G14</f>
        <v>116175</v>
      </c>
      <c r="J25" s="575" t="s">
        <v>234</v>
      </c>
      <c r="K25" s="190"/>
      <c r="L25" s="190"/>
      <c r="M25" s="190"/>
      <c r="N25" s="190"/>
      <c r="O25" s="190"/>
    </row>
    <row r="26" spans="1:15" ht="30" customHeight="1" x14ac:dyDescent="0.25">
      <c r="A26" s="101" t="s">
        <v>303</v>
      </c>
      <c r="B26" s="1021">
        <f>B25/'Objectifs CO2'!C10</f>
        <v>2.8741388757883794E-3</v>
      </c>
      <c r="C26" s="1021"/>
      <c r="D26" s="1021"/>
      <c r="E26" s="1021"/>
      <c r="G26" s="1109" t="s">
        <v>235</v>
      </c>
      <c r="H26" s="1109"/>
      <c r="I26" s="76" t="e">
        <f>I25*#REF!</f>
        <v>#REF!</v>
      </c>
      <c r="J26" s="575" t="s">
        <v>234</v>
      </c>
      <c r="O26" s="190"/>
    </row>
    <row r="27" spans="1:15" ht="30" customHeight="1" x14ac:dyDescent="0.25">
      <c r="A27" s="101" t="s">
        <v>304</v>
      </c>
      <c r="B27" s="1044">
        <f>B25/'Objectifs CO2'!C4</f>
        <v>4.311208313682569E-4</v>
      </c>
      <c r="C27" s="1045"/>
      <c r="D27" s="1045"/>
      <c r="E27" s="1045"/>
      <c r="G27" s="1109" t="s">
        <v>236</v>
      </c>
      <c r="H27" s="1109"/>
      <c r="I27" s="76" t="e">
        <f>I26</f>
        <v>#REF!</v>
      </c>
      <c r="J27" s="575" t="s">
        <v>234</v>
      </c>
      <c r="O27" s="190"/>
    </row>
    <row r="28" spans="1:15" ht="30" customHeight="1" x14ac:dyDescent="0.25">
      <c r="A28" s="101" t="s">
        <v>22</v>
      </c>
      <c r="B28" s="1010"/>
      <c r="C28" s="1010"/>
      <c r="D28" s="1010"/>
      <c r="E28" s="1010"/>
      <c r="G28" s="1109" t="s">
        <v>203</v>
      </c>
      <c r="H28" s="1109"/>
      <c r="I28" s="76" t="e">
        <f>I27/N14</f>
        <v>#REF!</v>
      </c>
      <c r="J28" s="575" t="s">
        <v>234</v>
      </c>
      <c r="O28" s="190"/>
    </row>
    <row r="29" spans="1:15" ht="30" customHeight="1" x14ac:dyDescent="0.25">
      <c r="A29" s="101" t="s">
        <v>257</v>
      </c>
      <c r="B29" s="999"/>
      <c r="C29" s="999"/>
      <c r="D29" s="999"/>
      <c r="E29" s="999"/>
    </row>
    <row r="31" spans="1:15" x14ac:dyDescent="0.25">
      <c r="A31" s="603" t="s">
        <v>1065</v>
      </c>
      <c r="B31" s="1003" t="s">
        <v>675</v>
      </c>
      <c r="C31" s="1003"/>
      <c r="D31" s="1003"/>
      <c r="E31" s="575"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77"/>
      <c r="E43" s="94" t="s">
        <v>730</v>
      </c>
    </row>
    <row r="44" spans="1:12" x14ac:dyDescent="0.25">
      <c r="A44" s="57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5">
    <mergeCell ref="B44:D44"/>
    <mergeCell ref="B67:F67"/>
    <mergeCell ref="G67:L67"/>
    <mergeCell ref="B68:F68"/>
    <mergeCell ref="G68:L68"/>
    <mergeCell ref="B61:F61"/>
    <mergeCell ref="G61:L61"/>
    <mergeCell ref="B62:F62"/>
    <mergeCell ref="G62:L62"/>
    <mergeCell ref="B55:F55"/>
    <mergeCell ref="G55:L55"/>
    <mergeCell ref="B56:F56"/>
    <mergeCell ref="G56:L56"/>
    <mergeCell ref="B57:F57"/>
    <mergeCell ref="G57:L57"/>
    <mergeCell ref="G46:L46"/>
    <mergeCell ref="A63:A69"/>
    <mergeCell ref="B63:F63"/>
    <mergeCell ref="G63:L63"/>
    <mergeCell ref="B64:F64"/>
    <mergeCell ref="G64:L64"/>
    <mergeCell ref="B65:F65"/>
    <mergeCell ref="B58:F58"/>
    <mergeCell ref="G58:L58"/>
    <mergeCell ref="B59:F59"/>
    <mergeCell ref="G59:L59"/>
    <mergeCell ref="B60:F60"/>
    <mergeCell ref="G60:L60"/>
    <mergeCell ref="A52:A62"/>
    <mergeCell ref="B52:F52"/>
    <mergeCell ref="G52:L52"/>
    <mergeCell ref="B53:F53"/>
    <mergeCell ref="G53:L53"/>
    <mergeCell ref="B54:F54"/>
    <mergeCell ref="G54:L54"/>
    <mergeCell ref="B69:F69"/>
    <mergeCell ref="G69:L69"/>
    <mergeCell ref="G65:L65"/>
    <mergeCell ref="B66:F66"/>
    <mergeCell ref="G66:L66"/>
    <mergeCell ref="A47:A51"/>
    <mergeCell ref="B47:F47"/>
    <mergeCell ref="G47:L47"/>
    <mergeCell ref="B48:F48"/>
    <mergeCell ref="G48:L48"/>
    <mergeCell ref="B49:F49"/>
    <mergeCell ref="G49:L49"/>
    <mergeCell ref="B50:F50"/>
    <mergeCell ref="G50:L50"/>
    <mergeCell ref="B51:F51"/>
    <mergeCell ref="G51:L51"/>
    <mergeCell ref="B38:D38"/>
    <mergeCell ref="B39:D39"/>
    <mergeCell ref="B40:D40"/>
    <mergeCell ref="G40:I40"/>
    <mergeCell ref="B41:D41"/>
    <mergeCell ref="B42:D42"/>
    <mergeCell ref="B34:D34"/>
    <mergeCell ref="H34:I34"/>
    <mergeCell ref="B35:D35"/>
    <mergeCell ref="H35:I35"/>
    <mergeCell ref="B36:D36"/>
    <mergeCell ref="B37:D37"/>
    <mergeCell ref="B29:E29"/>
    <mergeCell ref="B31:D31"/>
    <mergeCell ref="B32:D32"/>
    <mergeCell ref="G32:I32"/>
    <mergeCell ref="B33:D33"/>
    <mergeCell ref="H33:I33"/>
    <mergeCell ref="B26:E26"/>
    <mergeCell ref="G26:H26"/>
    <mergeCell ref="B27:E27"/>
    <mergeCell ref="G27:H27"/>
    <mergeCell ref="B28:E28"/>
    <mergeCell ref="G28:H28"/>
    <mergeCell ref="B22:E22"/>
    <mergeCell ref="G22:H22"/>
    <mergeCell ref="B23:E23"/>
    <mergeCell ref="G23:H23"/>
    <mergeCell ref="B24:E24"/>
    <mergeCell ref="B25:E25"/>
    <mergeCell ref="G25:H25"/>
    <mergeCell ref="B19:E19"/>
    <mergeCell ref="H19:I20"/>
    <mergeCell ref="J19:K20"/>
    <mergeCell ref="B20:E20"/>
    <mergeCell ref="B21:E21"/>
    <mergeCell ref="B16:E16"/>
    <mergeCell ref="Z16:AA16"/>
    <mergeCell ref="B17:E17"/>
    <mergeCell ref="H17:I18"/>
    <mergeCell ref="J17:K18"/>
    <mergeCell ref="B18:E18"/>
    <mergeCell ref="B13:E13"/>
    <mergeCell ref="Z13:AA13"/>
    <mergeCell ref="B14:E14"/>
    <mergeCell ref="Z14:AA14"/>
    <mergeCell ref="B15:E15"/>
    <mergeCell ref="Z15:AA15"/>
    <mergeCell ref="B10:E10"/>
    <mergeCell ref="Z10:AA10"/>
    <mergeCell ref="B11:E11"/>
    <mergeCell ref="Z11:AA11"/>
    <mergeCell ref="B12:E12"/>
    <mergeCell ref="Z12:AA12"/>
    <mergeCell ref="G8:G10"/>
    <mergeCell ref="B8:E8"/>
    <mergeCell ref="Z8:AA8"/>
    <mergeCell ref="B9:E9"/>
    <mergeCell ref="Z9:AA9"/>
    <mergeCell ref="B7:E7"/>
    <mergeCell ref="G7:H7"/>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140" priority="1" operator="containsText" text="Terminé">
      <formula>NOT(ISERROR(SEARCH("Terminé",B5)))</formula>
    </cfRule>
    <cfRule type="containsText" dxfId="139" priority="2" operator="containsText" text="En cours">
      <formula>NOT(ISERROR(SEARCH("En cours",B5)))</formula>
    </cfRule>
    <cfRule type="containsText" dxfId="13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3"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1040</v>
      </c>
      <c r="C2" s="1068"/>
      <c r="D2" s="1068"/>
      <c r="E2" s="1068"/>
      <c r="F2" s="7"/>
      <c r="G2" s="986" t="s">
        <v>751</v>
      </c>
      <c r="H2" s="986"/>
    </row>
    <row r="3" spans="1:28" ht="19.5" customHeight="1" x14ac:dyDescent="0.25">
      <c r="A3" s="579" t="s">
        <v>743</v>
      </c>
      <c r="B3" s="987" t="s">
        <v>746</v>
      </c>
      <c r="C3" s="987"/>
      <c r="D3" s="987"/>
      <c r="E3" s="987"/>
      <c r="F3" s="7"/>
      <c r="G3" s="986" t="s">
        <v>752</v>
      </c>
      <c r="H3" s="986"/>
    </row>
    <row r="4" spans="1:28" ht="19.5" customHeight="1" x14ac:dyDescent="0.25">
      <c r="A4" s="580" t="s">
        <v>292</v>
      </c>
      <c r="B4" s="996" t="s">
        <v>34</v>
      </c>
      <c r="C4" s="996"/>
      <c r="D4" s="996"/>
      <c r="E4" s="996"/>
      <c r="F4" s="7"/>
      <c r="G4" s="986" t="s">
        <v>753</v>
      </c>
      <c r="H4" s="986"/>
    </row>
    <row r="5" spans="1:28" ht="19.5" customHeight="1" x14ac:dyDescent="0.25">
      <c r="A5" s="580"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581"/>
      <c r="AA7" s="582"/>
      <c r="AB7" s="357"/>
    </row>
    <row r="8" spans="1:28" ht="24" customHeight="1" x14ac:dyDescent="0.25">
      <c r="A8" s="589" t="s">
        <v>1</v>
      </c>
      <c r="B8" s="967" t="s">
        <v>1047</v>
      </c>
      <c r="C8" s="967"/>
      <c r="D8" s="967"/>
      <c r="E8" s="967"/>
      <c r="G8" s="997" t="s">
        <v>936</v>
      </c>
      <c r="Z8" s="1028" t="s">
        <v>611</v>
      </c>
      <c r="AA8" s="1029"/>
      <c r="AB8" s="357">
        <v>0.26819999999999999</v>
      </c>
    </row>
    <row r="9" spans="1:28" ht="24" customHeight="1" x14ac:dyDescent="0.25">
      <c r="A9" s="589" t="s">
        <v>0</v>
      </c>
      <c r="B9" s="1111" t="s">
        <v>1048</v>
      </c>
      <c r="C9" s="1112"/>
      <c r="D9" s="1112"/>
      <c r="E9" s="1113"/>
      <c r="G9" s="997"/>
      <c r="Z9" s="1028" t="s">
        <v>612</v>
      </c>
      <c r="AA9" s="1029"/>
      <c r="AB9" s="357">
        <v>3.1300000000000001E-2</v>
      </c>
    </row>
    <row r="10" spans="1:28" ht="40.5" customHeight="1" x14ac:dyDescent="0.25">
      <c r="A10" s="589" t="s">
        <v>2</v>
      </c>
      <c r="B10" s="1034" t="s">
        <v>1067</v>
      </c>
      <c r="C10" s="1035"/>
      <c r="D10" s="1035"/>
      <c r="E10" s="1035"/>
      <c r="G10" s="997"/>
      <c r="M10" s="7"/>
      <c r="Z10" s="1028"/>
      <c r="AA10" s="1029"/>
      <c r="AB10" s="357"/>
    </row>
    <row r="11" spans="1:28" ht="57" customHeight="1" x14ac:dyDescent="0.25">
      <c r="A11" s="589" t="s">
        <v>29</v>
      </c>
      <c r="B11" s="1034" t="s">
        <v>1049</v>
      </c>
      <c r="C11" s="1035"/>
      <c r="D11" s="1035"/>
      <c r="E11" s="1035"/>
      <c r="G11" s="254">
        <v>5</v>
      </c>
      <c r="H11" s="131" t="s">
        <v>320</v>
      </c>
      <c r="Z11" s="1028" t="s">
        <v>613</v>
      </c>
      <c r="AA11" s="1029"/>
      <c r="AB11" s="357">
        <v>0.26819999999999999</v>
      </c>
    </row>
    <row r="12" spans="1:28" ht="30" customHeight="1" x14ac:dyDescent="0.25">
      <c r="A12" s="589" t="s">
        <v>14</v>
      </c>
      <c r="B12" s="1010" t="s">
        <v>939</v>
      </c>
      <c r="C12" s="1010"/>
      <c r="D12" s="1010"/>
      <c r="E12" s="1010"/>
      <c r="G12" s="595">
        <v>20</v>
      </c>
      <c r="H12" s="594" t="s">
        <v>1068</v>
      </c>
      <c r="I12" s="595">
        <v>220</v>
      </c>
      <c r="J12" s="595" t="s">
        <v>1069</v>
      </c>
      <c r="Z12" s="1028" t="s">
        <v>614</v>
      </c>
      <c r="AA12" s="1029"/>
      <c r="AB12" s="357">
        <v>1.18E-2</v>
      </c>
    </row>
    <row r="13" spans="1:28" ht="30" customHeight="1" x14ac:dyDescent="0.25">
      <c r="A13" s="589" t="s">
        <v>3</v>
      </c>
      <c r="B13" s="1011" t="s">
        <v>943</v>
      </c>
      <c r="C13" s="1011"/>
      <c r="D13" s="1011"/>
      <c r="E13" s="1011"/>
      <c r="G13" s="59" t="s">
        <v>1051</v>
      </c>
      <c r="H13" s="60" t="s">
        <v>226</v>
      </c>
      <c r="I13" s="60" t="s">
        <v>109</v>
      </c>
      <c r="J13" s="60" t="s">
        <v>227</v>
      </c>
      <c r="K13" s="60" t="s">
        <v>1045</v>
      </c>
      <c r="L13" s="60" t="s">
        <v>150</v>
      </c>
      <c r="Z13" s="1028" t="s">
        <v>615</v>
      </c>
      <c r="AA13" s="1029"/>
      <c r="AB13" s="358">
        <f>AB15/0.55</f>
        <v>0.50363636363636366</v>
      </c>
    </row>
    <row r="14" spans="1:28" ht="30" customHeight="1" x14ac:dyDescent="0.25">
      <c r="A14" s="589" t="s">
        <v>15</v>
      </c>
      <c r="B14" s="1010"/>
      <c r="C14" s="1010"/>
      <c r="D14" s="1010"/>
      <c r="E14" s="1010"/>
      <c r="G14" s="586">
        <f>G11</f>
        <v>5</v>
      </c>
      <c r="H14" s="587">
        <v>15490</v>
      </c>
      <c r="I14" s="587">
        <v>6</v>
      </c>
      <c r="J14" s="587">
        <v>1.6</v>
      </c>
      <c r="K14" s="587">
        <v>0.3</v>
      </c>
      <c r="L14" s="587">
        <f>AB8</f>
        <v>0.26819999999999999</v>
      </c>
      <c r="Z14" s="1028" t="s">
        <v>616</v>
      </c>
      <c r="AA14" s="1029"/>
      <c r="AB14" s="357">
        <v>0.26819999999999999</v>
      </c>
    </row>
    <row r="15" spans="1:28" ht="30" customHeight="1" x14ac:dyDescent="0.25">
      <c r="A15" s="589" t="s">
        <v>4</v>
      </c>
      <c r="B15" s="1010">
        <v>2020</v>
      </c>
      <c r="C15" s="1010"/>
      <c r="D15" s="1010"/>
      <c r="E15" s="1010"/>
      <c r="G15" s="190"/>
      <c r="H15" s="190"/>
      <c r="I15" s="587">
        <v>100</v>
      </c>
      <c r="J15" s="190"/>
      <c r="K15" s="190"/>
      <c r="L15" s="190"/>
      <c r="M15" s="190"/>
      <c r="N15" s="190"/>
      <c r="O15" s="190"/>
      <c r="Z15" s="1028" t="s">
        <v>578</v>
      </c>
      <c r="AA15" s="1029"/>
      <c r="AB15" s="357">
        <v>0.27700000000000002</v>
      </c>
    </row>
    <row r="16" spans="1:28" ht="30" customHeight="1" x14ac:dyDescent="0.25">
      <c r="A16" s="589" t="s">
        <v>5</v>
      </c>
      <c r="B16" s="1010">
        <v>2021</v>
      </c>
      <c r="C16" s="1010"/>
      <c r="D16" s="1010"/>
      <c r="E16" s="1010"/>
      <c r="G16" s="190"/>
      <c r="H16" s="190"/>
      <c r="I16" s="190"/>
      <c r="J16" s="190"/>
      <c r="K16" s="190"/>
      <c r="L16" s="190"/>
      <c r="M16" s="190"/>
      <c r="N16" s="190"/>
      <c r="O16" s="190"/>
      <c r="Z16" s="1028" t="s">
        <v>579</v>
      </c>
      <c r="AA16" s="1029"/>
      <c r="AB16" s="357">
        <v>0.20269999999999999</v>
      </c>
    </row>
    <row r="17" spans="1:15" ht="30" customHeight="1" x14ac:dyDescent="0.25">
      <c r="A17" s="589" t="s">
        <v>6</v>
      </c>
      <c r="B17" s="1000">
        <v>100000</v>
      </c>
      <c r="C17" s="1000"/>
      <c r="D17" s="1000"/>
      <c r="E17" s="1000"/>
      <c r="G17" s="190"/>
      <c r="H17" s="190"/>
      <c r="I17" s="190"/>
      <c r="J17" s="190"/>
      <c r="K17" s="190"/>
      <c r="L17" s="190"/>
      <c r="M17" s="190"/>
      <c r="N17" s="190"/>
      <c r="O17" s="190"/>
    </row>
    <row r="18" spans="1:15" ht="30" customHeight="1" x14ac:dyDescent="0.25">
      <c r="A18" s="589" t="s">
        <v>7</v>
      </c>
      <c r="B18" s="1000">
        <f>B17*0.5</f>
        <v>50000</v>
      </c>
      <c r="C18" s="1000"/>
      <c r="D18" s="1000"/>
      <c r="E18" s="1000"/>
      <c r="G18" s="190"/>
      <c r="H18" s="9"/>
      <c r="I18" s="9"/>
      <c r="J18" s="9"/>
      <c r="K18" s="9"/>
      <c r="L18" s="9"/>
      <c r="M18" s="190"/>
      <c r="N18" s="190"/>
      <c r="O18" s="190"/>
    </row>
    <row r="19" spans="1:15" ht="30" customHeight="1" x14ac:dyDescent="0.25">
      <c r="A19" s="99" t="s">
        <v>307</v>
      </c>
      <c r="B19" s="1039">
        <f>G12*G11*I12*I14/I15*10</f>
        <v>13200</v>
      </c>
      <c r="C19" s="1040"/>
      <c r="D19" s="1040"/>
      <c r="E19" s="1040"/>
      <c r="G19" s="190"/>
      <c r="H19" s="9"/>
      <c r="I19" s="9"/>
      <c r="J19" s="9"/>
      <c r="K19" s="9"/>
      <c r="L19" s="9"/>
      <c r="M19" s="190"/>
      <c r="N19" s="190"/>
      <c r="O19" s="190"/>
    </row>
    <row r="20" spans="1:15" ht="30" customHeight="1" x14ac:dyDescent="0.25">
      <c r="A20" s="96" t="s">
        <v>306</v>
      </c>
      <c r="B20" s="1115">
        <v>0</v>
      </c>
      <c r="C20" s="1116"/>
      <c r="D20" s="1116"/>
      <c r="E20" s="1116"/>
      <c r="G20" s="190"/>
      <c r="H20" s="9"/>
      <c r="I20" s="9"/>
      <c r="J20" s="9"/>
      <c r="K20" s="9"/>
      <c r="L20" s="9"/>
      <c r="M20" s="190"/>
      <c r="N20" s="190"/>
      <c r="O20" s="190"/>
    </row>
    <row r="21" spans="1:15" ht="30" customHeight="1" x14ac:dyDescent="0.25">
      <c r="A21" s="589" t="s">
        <v>8</v>
      </c>
      <c r="B21" s="1012">
        <f>B19/10*J14</f>
        <v>2112</v>
      </c>
      <c r="C21" s="1012"/>
      <c r="D21" s="1012"/>
      <c r="E21" s="1012"/>
      <c r="G21" s="190"/>
      <c r="J21" s="190" t="s">
        <v>494</v>
      </c>
      <c r="K21" s="9"/>
      <c r="L21" s="9"/>
      <c r="M21" s="190"/>
      <c r="N21" s="190"/>
      <c r="O21" s="190"/>
    </row>
    <row r="22" spans="1:15" ht="30" customHeight="1" x14ac:dyDescent="0.25">
      <c r="A22" s="589" t="s">
        <v>9</v>
      </c>
      <c r="B22" s="1012"/>
      <c r="C22" s="1012"/>
      <c r="D22" s="1012"/>
      <c r="E22" s="1012"/>
      <c r="G22" s="1108" t="s">
        <v>231</v>
      </c>
      <c r="H22" s="1108"/>
      <c r="I22" s="75">
        <f>B22/10*J14+J22</f>
        <v>4000</v>
      </c>
      <c r="J22" s="211">
        <f>G14*800</f>
        <v>4000</v>
      </c>
      <c r="K22" s="190"/>
      <c r="L22" s="190"/>
      <c r="M22" s="190"/>
      <c r="N22" s="190"/>
      <c r="O22" s="190"/>
    </row>
    <row r="23" spans="1:15" ht="30" customHeight="1" x14ac:dyDescent="0.25">
      <c r="A23" s="589" t="s">
        <v>301</v>
      </c>
      <c r="B23" s="1016">
        <f>(B17-J16*G11)/(B21+B22)</f>
        <v>47.348484848484851</v>
      </c>
      <c r="C23" s="1016"/>
      <c r="D23" s="1016"/>
      <c r="E23" s="1016"/>
      <c r="G23" s="1108" t="s">
        <v>232</v>
      </c>
      <c r="H23" s="1108"/>
      <c r="I23" s="75"/>
      <c r="J23" s="211">
        <f>G14*100</f>
        <v>500</v>
      </c>
      <c r="K23" s="190"/>
      <c r="L23" s="190"/>
      <c r="M23" s="190"/>
      <c r="N23" s="190"/>
      <c r="O23" s="190"/>
    </row>
    <row r="24" spans="1:15" ht="30" customHeight="1" x14ac:dyDescent="0.25">
      <c r="A24" s="589" t="s">
        <v>302</v>
      </c>
      <c r="B24" s="1048">
        <f>(B17-(J16*G11)-B18)/(B21+B22)</f>
        <v>23.674242424242426</v>
      </c>
      <c r="C24" s="1048"/>
      <c r="D24" s="1048"/>
      <c r="E24" s="1048"/>
      <c r="G24" s="190"/>
      <c r="H24" s="190"/>
      <c r="I24" s="190"/>
      <c r="J24" s="190"/>
      <c r="K24" s="190"/>
      <c r="L24" s="190"/>
      <c r="M24" s="190"/>
      <c r="N24" s="190"/>
      <c r="O24" s="190"/>
    </row>
    <row r="25" spans="1:15" ht="30" customHeight="1" x14ac:dyDescent="0.25">
      <c r="A25" s="100" t="s">
        <v>305</v>
      </c>
      <c r="B25" s="1119">
        <f>B19/1000*L14</f>
        <v>3.5402399999999998</v>
      </c>
      <c r="C25" s="1119"/>
      <c r="D25" s="1119"/>
      <c r="E25" s="1119"/>
      <c r="G25" s="1109" t="s">
        <v>233</v>
      </c>
      <c r="H25" s="1109"/>
      <c r="I25" s="588">
        <f>H14*I14/I15*10*G14</f>
        <v>46470</v>
      </c>
      <c r="J25" s="575" t="s">
        <v>234</v>
      </c>
      <c r="K25" s="190"/>
      <c r="L25" s="190"/>
      <c r="M25" s="190"/>
      <c r="N25" s="190"/>
      <c r="O25" s="190"/>
    </row>
    <row r="26" spans="1:15" ht="30" customHeight="1" x14ac:dyDescent="0.25">
      <c r="A26" s="101" t="s">
        <v>303</v>
      </c>
      <c r="B26" s="1021">
        <f>B25/'Objectifs CO2'!C10</f>
        <v>1.0885484014175916E-3</v>
      </c>
      <c r="C26" s="1021"/>
      <c r="D26" s="1021"/>
      <c r="E26" s="1021"/>
      <c r="G26" s="1109" t="s">
        <v>235</v>
      </c>
      <c r="H26" s="1109"/>
      <c r="I26" s="76" t="e">
        <f>I25*#REF!</f>
        <v>#REF!</v>
      </c>
      <c r="J26" s="575" t="s">
        <v>234</v>
      </c>
      <c r="O26" s="190"/>
    </row>
    <row r="27" spans="1:15" ht="30" customHeight="1" x14ac:dyDescent="0.25">
      <c r="A27" s="101" t="s">
        <v>304</v>
      </c>
      <c r="B27" s="1044">
        <f>B25/'Objectifs CO2'!C4</f>
        <v>1.6328226021263874E-4</v>
      </c>
      <c r="C27" s="1045"/>
      <c r="D27" s="1045"/>
      <c r="E27" s="1045"/>
      <c r="G27" s="1109" t="s">
        <v>236</v>
      </c>
      <c r="H27" s="1109"/>
      <c r="I27" s="76" t="e">
        <f>I26</f>
        <v>#REF!</v>
      </c>
      <c r="J27" s="575" t="s">
        <v>234</v>
      </c>
      <c r="O27" s="190"/>
    </row>
    <row r="28" spans="1:15" ht="30" customHeight="1" x14ac:dyDescent="0.25">
      <c r="A28" s="101" t="s">
        <v>22</v>
      </c>
      <c r="B28" s="1010"/>
      <c r="C28" s="1010"/>
      <c r="D28" s="1010"/>
      <c r="E28" s="1010"/>
      <c r="G28" s="1109" t="s">
        <v>203</v>
      </c>
      <c r="H28" s="1109"/>
      <c r="I28" s="76" t="e">
        <f>I27/N14</f>
        <v>#REF!</v>
      </c>
      <c r="J28" s="575" t="s">
        <v>234</v>
      </c>
      <c r="O28" s="190"/>
    </row>
    <row r="29" spans="1:15" ht="30" customHeight="1" x14ac:dyDescent="0.25">
      <c r="A29" s="101" t="s">
        <v>257</v>
      </c>
      <c r="B29" s="999"/>
      <c r="C29" s="999"/>
      <c r="D29" s="999"/>
      <c r="E29" s="999"/>
    </row>
    <row r="31" spans="1:15" x14ac:dyDescent="0.25">
      <c r="A31" s="603" t="s">
        <v>1065</v>
      </c>
      <c r="B31" s="1003" t="s">
        <v>675</v>
      </c>
      <c r="C31" s="1003"/>
      <c r="D31" s="1003"/>
      <c r="E31" s="575"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77"/>
      <c r="E43" s="94" t="s">
        <v>730</v>
      </c>
    </row>
    <row r="44" spans="1:12" x14ac:dyDescent="0.25">
      <c r="A44" s="57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1">
    <mergeCell ref="G67:L67"/>
    <mergeCell ref="B68:F68"/>
    <mergeCell ref="G68:L68"/>
    <mergeCell ref="B69:F69"/>
    <mergeCell ref="G69:L69"/>
    <mergeCell ref="A63:A69"/>
    <mergeCell ref="B63:F63"/>
    <mergeCell ref="G63:L63"/>
    <mergeCell ref="B64:F64"/>
    <mergeCell ref="G64:L64"/>
    <mergeCell ref="B65:F65"/>
    <mergeCell ref="G65:L65"/>
    <mergeCell ref="B66:F66"/>
    <mergeCell ref="G66:L66"/>
    <mergeCell ref="B67:F67"/>
    <mergeCell ref="B51:F51"/>
    <mergeCell ref="G51:L51"/>
    <mergeCell ref="B60:F60"/>
    <mergeCell ref="G60:L60"/>
    <mergeCell ref="B61:F61"/>
    <mergeCell ref="G61:L61"/>
    <mergeCell ref="B62:F62"/>
    <mergeCell ref="G62:L62"/>
    <mergeCell ref="B57:F57"/>
    <mergeCell ref="G57:L57"/>
    <mergeCell ref="B58:F58"/>
    <mergeCell ref="G58:L58"/>
    <mergeCell ref="B59:F59"/>
    <mergeCell ref="G59:L59"/>
    <mergeCell ref="A52:A62"/>
    <mergeCell ref="B52:F52"/>
    <mergeCell ref="G52:L52"/>
    <mergeCell ref="B53:F53"/>
    <mergeCell ref="G53:L53"/>
    <mergeCell ref="B41:D41"/>
    <mergeCell ref="B42:D42"/>
    <mergeCell ref="B44:D44"/>
    <mergeCell ref="G46:L46"/>
    <mergeCell ref="A47:A51"/>
    <mergeCell ref="B47:F47"/>
    <mergeCell ref="G47:L47"/>
    <mergeCell ref="B48:F48"/>
    <mergeCell ref="G48:L48"/>
    <mergeCell ref="B49:F49"/>
    <mergeCell ref="B54:F54"/>
    <mergeCell ref="G54:L54"/>
    <mergeCell ref="B55:F55"/>
    <mergeCell ref="G55:L55"/>
    <mergeCell ref="B56:F56"/>
    <mergeCell ref="G56:L56"/>
    <mergeCell ref="G49:L49"/>
    <mergeCell ref="B50:F50"/>
    <mergeCell ref="G50:L50"/>
    <mergeCell ref="B36:D36"/>
    <mergeCell ref="B37:D37"/>
    <mergeCell ref="B38:D38"/>
    <mergeCell ref="B39:D39"/>
    <mergeCell ref="B40:D40"/>
    <mergeCell ref="G40:I40"/>
    <mergeCell ref="B33:D33"/>
    <mergeCell ref="H33:I33"/>
    <mergeCell ref="B34:D34"/>
    <mergeCell ref="H34:I34"/>
    <mergeCell ref="B35:D35"/>
    <mergeCell ref="H35:I35"/>
    <mergeCell ref="B28:E28"/>
    <mergeCell ref="G28:H28"/>
    <mergeCell ref="B29:E29"/>
    <mergeCell ref="B31:D31"/>
    <mergeCell ref="B32:D32"/>
    <mergeCell ref="G32:I32"/>
    <mergeCell ref="B25:E25"/>
    <mergeCell ref="G25:H25"/>
    <mergeCell ref="B26:E26"/>
    <mergeCell ref="G26:H26"/>
    <mergeCell ref="B27:E27"/>
    <mergeCell ref="G27:H27"/>
    <mergeCell ref="B21:E21"/>
    <mergeCell ref="B22:E22"/>
    <mergeCell ref="G22:H22"/>
    <mergeCell ref="B23:E23"/>
    <mergeCell ref="G23:H23"/>
    <mergeCell ref="B24:E24"/>
    <mergeCell ref="B17:E17"/>
    <mergeCell ref="B18:E18"/>
    <mergeCell ref="B19:E19"/>
    <mergeCell ref="B20:E20"/>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137" priority="1" operator="containsText" text="Terminé">
      <formula>NOT(ISERROR(SEARCH("Terminé",B5)))</formula>
    </cfRule>
    <cfRule type="containsText" dxfId="136" priority="2" operator="containsText" text="En cours">
      <formula>NOT(ISERROR(SEARCH("En cours",B5)))</formula>
    </cfRule>
    <cfRule type="containsText" dxfId="13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4"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1041</v>
      </c>
      <c r="C2" s="1068"/>
      <c r="D2" s="1068"/>
      <c r="E2" s="1068"/>
      <c r="F2" s="7"/>
      <c r="G2" s="986" t="s">
        <v>751</v>
      </c>
      <c r="H2" s="986"/>
    </row>
    <row r="3" spans="1:28" ht="19.5" customHeight="1" x14ac:dyDescent="0.25">
      <c r="A3" s="579" t="s">
        <v>743</v>
      </c>
      <c r="B3" s="987" t="s">
        <v>746</v>
      </c>
      <c r="C3" s="987"/>
      <c r="D3" s="987"/>
      <c r="E3" s="987"/>
      <c r="F3" s="7"/>
      <c r="G3" s="986" t="s">
        <v>752</v>
      </c>
      <c r="H3" s="986"/>
    </row>
    <row r="4" spans="1:28" ht="19.5" customHeight="1" x14ac:dyDescent="0.25">
      <c r="A4" s="580" t="s">
        <v>292</v>
      </c>
      <c r="B4" s="996" t="s">
        <v>34</v>
      </c>
      <c r="C4" s="996"/>
      <c r="D4" s="996"/>
      <c r="E4" s="996"/>
      <c r="F4" s="7"/>
      <c r="G4" s="986" t="s">
        <v>753</v>
      </c>
      <c r="H4" s="986"/>
    </row>
    <row r="5" spans="1:28" ht="19.5" customHeight="1" x14ac:dyDescent="0.25">
      <c r="A5" s="580" t="s">
        <v>16</v>
      </c>
      <c r="B5" s="1015" t="s">
        <v>17</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608</v>
      </c>
      <c r="C7" s="994"/>
      <c r="D7" s="994"/>
      <c r="E7" s="994"/>
      <c r="F7" s="7"/>
      <c r="G7" s="995" t="s">
        <v>756</v>
      </c>
      <c r="H7" s="995"/>
      <c r="I7" s="407"/>
      <c r="J7" s="407"/>
      <c r="Z7" s="581"/>
      <c r="AA7" s="582"/>
      <c r="AB7" s="357"/>
    </row>
    <row r="8" spans="1:28" ht="24" customHeight="1" x14ac:dyDescent="0.25">
      <c r="A8" s="589" t="s">
        <v>1</v>
      </c>
      <c r="B8" s="967" t="s">
        <v>1122</v>
      </c>
      <c r="C8" s="967"/>
      <c r="D8" s="967"/>
      <c r="E8" s="967"/>
      <c r="G8" s="997" t="s">
        <v>936</v>
      </c>
      <c r="Z8" s="1028" t="s">
        <v>611</v>
      </c>
      <c r="AA8" s="1029"/>
      <c r="AB8" s="357">
        <v>0.26819999999999999</v>
      </c>
    </row>
    <row r="9" spans="1:28" ht="24" customHeight="1" x14ac:dyDescent="0.25">
      <c r="A9" s="589" t="s">
        <v>0</v>
      </c>
      <c r="B9" s="1111" t="s">
        <v>1123</v>
      </c>
      <c r="C9" s="1112"/>
      <c r="D9" s="1112"/>
      <c r="E9" s="1113"/>
      <c r="G9" s="997"/>
      <c r="Z9" s="1028" t="s">
        <v>612</v>
      </c>
      <c r="AA9" s="1029"/>
      <c r="AB9" s="357">
        <v>3.1300000000000001E-2</v>
      </c>
    </row>
    <row r="10" spans="1:28" ht="54.75" customHeight="1" x14ac:dyDescent="0.25">
      <c r="A10" s="589" t="s">
        <v>2</v>
      </c>
      <c r="B10" s="1034" t="s">
        <v>1121</v>
      </c>
      <c r="C10" s="1035"/>
      <c r="D10" s="1035"/>
      <c r="E10" s="1035"/>
      <c r="G10" s="997"/>
      <c r="M10" s="7"/>
      <c r="Z10" s="1028"/>
      <c r="AA10" s="1029"/>
      <c r="AB10" s="357"/>
    </row>
    <row r="11" spans="1:28" ht="30" x14ac:dyDescent="0.25">
      <c r="A11" s="589" t="s">
        <v>29</v>
      </c>
      <c r="B11" s="1034"/>
      <c r="C11" s="1035"/>
      <c r="D11" s="1035"/>
      <c r="E11" s="1035"/>
      <c r="G11" s="254">
        <v>10</v>
      </c>
      <c r="H11" s="131" t="s">
        <v>568</v>
      </c>
      <c r="Z11" s="1028" t="s">
        <v>613</v>
      </c>
      <c r="AA11" s="1029"/>
      <c r="AB11" s="357">
        <v>0.26819999999999999</v>
      </c>
    </row>
    <row r="12" spans="1:28" ht="30" customHeight="1" x14ac:dyDescent="0.25">
      <c r="A12" s="589" t="s">
        <v>14</v>
      </c>
      <c r="B12" s="1010" t="s">
        <v>607</v>
      </c>
      <c r="C12" s="1010"/>
      <c r="D12" s="1010"/>
      <c r="E12" s="1010"/>
      <c r="G12" s="576">
        <v>80</v>
      </c>
      <c r="H12" s="79" t="s">
        <v>569</v>
      </c>
      <c r="Z12" s="1028" t="s">
        <v>614</v>
      </c>
      <c r="AA12" s="1029"/>
      <c r="AB12" s="357">
        <v>1.18E-2</v>
      </c>
    </row>
    <row r="13" spans="1:28" ht="30" customHeight="1" x14ac:dyDescent="0.25">
      <c r="A13" s="589" t="s">
        <v>3</v>
      </c>
      <c r="B13" s="1010"/>
      <c r="C13" s="1010"/>
      <c r="D13" s="1010"/>
      <c r="E13" s="1010"/>
      <c r="N13" s="60" t="s">
        <v>229</v>
      </c>
      <c r="O13" s="60" t="s">
        <v>230</v>
      </c>
      <c r="Z13" s="1028" t="s">
        <v>615</v>
      </c>
      <c r="AA13" s="1029"/>
      <c r="AB13" s="358">
        <f>AB15/0.55</f>
        <v>0.50363636363636366</v>
      </c>
    </row>
    <row r="14" spans="1:28" ht="30" customHeight="1" x14ac:dyDescent="0.25">
      <c r="A14" s="589" t="s">
        <v>15</v>
      </c>
      <c r="B14" s="1010"/>
      <c r="C14" s="1010"/>
      <c r="D14" s="1010"/>
      <c r="E14" s="1010"/>
      <c r="G14" s="586" t="s">
        <v>108</v>
      </c>
      <c r="H14" s="586" t="s">
        <v>223</v>
      </c>
      <c r="I14" s="587" t="s">
        <v>109</v>
      </c>
      <c r="J14" s="587" t="s">
        <v>224</v>
      </c>
      <c r="K14" s="60" t="s">
        <v>220</v>
      </c>
      <c r="L14" s="60" t="s">
        <v>150</v>
      </c>
      <c r="N14" s="587">
        <v>0.98</v>
      </c>
      <c r="O14" s="63">
        <f>AB15</f>
        <v>0.27700000000000002</v>
      </c>
      <c r="Z14" s="1028" t="s">
        <v>616</v>
      </c>
      <c r="AA14" s="1029"/>
      <c r="AB14" s="357">
        <v>0.26819999999999999</v>
      </c>
    </row>
    <row r="15" spans="1:28" ht="30" customHeight="1" x14ac:dyDescent="0.25">
      <c r="A15" s="589" t="s">
        <v>4</v>
      </c>
      <c r="B15" s="1010">
        <v>2016</v>
      </c>
      <c r="C15" s="1010"/>
      <c r="D15" s="1010"/>
      <c r="E15" s="1010"/>
      <c r="G15" s="586">
        <f>SUM(G11:L11)</f>
        <v>10</v>
      </c>
      <c r="H15" s="586">
        <f>G12</f>
        <v>80</v>
      </c>
      <c r="I15" s="587">
        <v>6</v>
      </c>
      <c r="J15" s="587">
        <v>215</v>
      </c>
      <c r="K15" s="587">
        <v>1.6</v>
      </c>
      <c r="L15" s="587">
        <f>AB8</f>
        <v>0.26819999999999999</v>
      </c>
      <c r="N15" s="190"/>
      <c r="O15" s="190"/>
      <c r="Z15" s="1028" t="s">
        <v>578</v>
      </c>
      <c r="AA15" s="1029"/>
      <c r="AB15" s="357">
        <v>0.27700000000000002</v>
      </c>
    </row>
    <row r="16" spans="1:28" ht="30" customHeight="1" x14ac:dyDescent="0.25">
      <c r="A16" s="589" t="s">
        <v>5</v>
      </c>
      <c r="B16" s="1010">
        <v>2030</v>
      </c>
      <c r="C16" s="1010"/>
      <c r="D16" s="1010"/>
      <c r="E16" s="1010"/>
      <c r="G16" s="190"/>
      <c r="H16" s="190"/>
      <c r="I16" s="587">
        <v>100</v>
      </c>
      <c r="J16" s="190"/>
      <c r="K16" s="190"/>
      <c r="L16" s="190"/>
      <c r="N16" s="190"/>
      <c r="O16" s="190"/>
      <c r="Z16" s="1028" t="s">
        <v>579</v>
      </c>
      <c r="AA16" s="1029"/>
      <c r="AB16" s="357">
        <v>0.20269999999999999</v>
      </c>
    </row>
    <row r="17" spans="1:15" ht="30" customHeight="1" x14ac:dyDescent="0.25">
      <c r="A17" s="589" t="s">
        <v>6</v>
      </c>
      <c r="B17" s="1012">
        <v>0</v>
      </c>
      <c r="C17" s="1012"/>
      <c r="D17" s="1012"/>
      <c r="E17" s="1012"/>
      <c r="G17" s="190"/>
      <c r="H17" s="190"/>
      <c r="I17" s="190"/>
      <c r="J17" s="190"/>
      <c r="K17" s="190"/>
      <c r="L17" s="190"/>
      <c r="N17" s="190"/>
      <c r="O17" s="190"/>
    </row>
    <row r="18" spans="1:15" ht="30" customHeight="1" x14ac:dyDescent="0.25">
      <c r="A18" s="589" t="s">
        <v>7</v>
      </c>
      <c r="B18" s="1012">
        <v>0</v>
      </c>
      <c r="C18" s="1012"/>
      <c r="D18" s="1012"/>
      <c r="E18" s="1012"/>
      <c r="G18" s="190"/>
      <c r="H18" s="190"/>
      <c r="I18" s="190"/>
      <c r="J18" s="190"/>
      <c r="K18" s="190"/>
      <c r="L18" s="190"/>
      <c r="N18" s="190"/>
      <c r="O18" s="190"/>
    </row>
    <row r="19" spans="1:15" ht="30" customHeight="1" x14ac:dyDescent="0.25">
      <c r="A19" s="99" t="s">
        <v>307</v>
      </c>
      <c r="B19" s="1013">
        <f>H20*10</f>
        <v>77400</v>
      </c>
      <c r="C19" s="1014"/>
      <c r="D19" s="1014"/>
      <c r="E19" s="1014"/>
      <c r="G19" s="587" t="s">
        <v>110</v>
      </c>
      <c r="H19" s="587">
        <f>G15*0.75*H15*J15</f>
        <v>129000</v>
      </c>
      <c r="I19" s="190"/>
      <c r="J19" s="190"/>
      <c r="K19" s="190"/>
      <c r="L19" s="190"/>
      <c r="N19" s="190"/>
      <c r="O19" s="190"/>
    </row>
    <row r="20" spans="1:15" ht="30" customHeight="1" x14ac:dyDescent="0.25">
      <c r="A20" s="96" t="s">
        <v>306</v>
      </c>
      <c r="B20" s="1006">
        <v>0</v>
      </c>
      <c r="C20" s="1007"/>
      <c r="D20" s="1007"/>
      <c r="E20" s="1007"/>
      <c r="G20" s="587" t="s">
        <v>107</v>
      </c>
      <c r="H20" s="587">
        <f>H19*I15/I16</f>
        <v>7740</v>
      </c>
      <c r="I20" s="190"/>
      <c r="J20" s="190"/>
      <c r="K20" s="190"/>
      <c r="L20" s="190"/>
      <c r="N20" s="190"/>
      <c r="O20" s="190"/>
    </row>
    <row r="21" spans="1:15" ht="30" customHeight="1" x14ac:dyDescent="0.25">
      <c r="A21" s="589" t="s">
        <v>8</v>
      </c>
      <c r="B21" s="1120">
        <f>B19/10*K15</f>
        <v>12384</v>
      </c>
      <c r="C21" s="1121"/>
      <c r="D21" s="1121"/>
      <c r="E21" s="1122"/>
      <c r="G21" s="6">
        <v>1.6</v>
      </c>
      <c r="N21" s="190"/>
      <c r="O21" s="190"/>
    </row>
    <row r="22" spans="1:15" ht="30" customHeight="1" x14ac:dyDescent="0.25">
      <c r="A22" s="589" t="s">
        <v>9</v>
      </c>
      <c r="B22" s="1000"/>
      <c r="C22" s="1000"/>
      <c r="D22" s="1000"/>
      <c r="E22" s="1000"/>
      <c r="N22" s="190"/>
      <c r="O22" s="190"/>
    </row>
    <row r="23" spans="1:15" ht="30" customHeight="1" x14ac:dyDescent="0.25">
      <c r="A23" s="589" t="s">
        <v>301</v>
      </c>
      <c r="B23" s="1016">
        <f>B17/(B21+B22)</f>
        <v>0</v>
      </c>
      <c r="C23" s="1016"/>
      <c r="D23" s="1016"/>
      <c r="E23" s="1016"/>
      <c r="N23" s="190"/>
      <c r="O23" s="190"/>
    </row>
    <row r="24" spans="1:15" ht="30" customHeight="1" x14ac:dyDescent="0.25">
      <c r="A24" s="589" t="s">
        <v>302</v>
      </c>
      <c r="B24" s="1017">
        <f>(B17-B18)/(B21+B22)</f>
        <v>0</v>
      </c>
      <c r="C24" s="1017"/>
      <c r="D24" s="1017"/>
      <c r="E24" s="1017"/>
      <c r="N24" s="190"/>
      <c r="O24" s="190"/>
    </row>
    <row r="25" spans="1:15" ht="30" customHeight="1" x14ac:dyDescent="0.25">
      <c r="A25" s="100" t="s">
        <v>305</v>
      </c>
      <c r="B25" s="1070">
        <f>B19/1000*L15</f>
        <v>20.758680000000002</v>
      </c>
      <c r="C25" s="1070"/>
      <c r="D25" s="1070"/>
      <c r="E25" s="1070"/>
      <c r="G25" s="6">
        <v>0.26100000000000001</v>
      </c>
      <c r="N25" s="190"/>
      <c r="O25" s="190"/>
    </row>
    <row r="26" spans="1:15" ht="30" customHeight="1" x14ac:dyDescent="0.25">
      <c r="A26" s="101" t="s">
        <v>303</v>
      </c>
      <c r="B26" s="1021">
        <f>B25/'Objectifs CO2'!C10</f>
        <v>6.382851990130424E-3</v>
      </c>
      <c r="C26" s="1021"/>
      <c r="D26" s="1021"/>
      <c r="E26" s="1021"/>
      <c r="G26" s="1109" t="s">
        <v>235</v>
      </c>
      <c r="H26" s="1109"/>
      <c r="I26" s="76" t="e">
        <f>I25*#REF!</f>
        <v>#REF!</v>
      </c>
      <c r="J26" s="575" t="s">
        <v>234</v>
      </c>
      <c r="O26" s="190"/>
    </row>
    <row r="27" spans="1:15" ht="30" customHeight="1" x14ac:dyDescent="0.25">
      <c r="A27" s="101" t="s">
        <v>304</v>
      </c>
      <c r="B27" s="1044">
        <f>B25/'Objectifs CO2'!C4</f>
        <v>9.5742779851956358E-4</v>
      </c>
      <c r="C27" s="1045"/>
      <c r="D27" s="1045"/>
      <c r="E27" s="1045"/>
      <c r="G27" s="1109" t="s">
        <v>236</v>
      </c>
      <c r="H27" s="1109"/>
      <c r="I27" s="76" t="e">
        <f>I26</f>
        <v>#REF!</v>
      </c>
      <c r="J27" s="575" t="s">
        <v>234</v>
      </c>
      <c r="O27" s="190"/>
    </row>
    <row r="28" spans="1:15" ht="30" customHeight="1" x14ac:dyDescent="0.25">
      <c r="A28" s="101" t="s">
        <v>22</v>
      </c>
      <c r="B28" s="1010"/>
      <c r="C28" s="1010"/>
      <c r="D28" s="1010"/>
      <c r="E28" s="1010"/>
      <c r="G28" s="1109" t="s">
        <v>203</v>
      </c>
      <c r="H28" s="1109"/>
      <c r="I28" s="76" t="e">
        <f>I27/N14</f>
        <v>#REF!</v>
      </c>
      <c r="J28" s="575" t="s">
        <v>234</v>
      </c>
      <c r="O28" s="190"/>
    </row>
    <row r="29" spans="1:15" ht="30" customHeight="1" x14ac:dyDescent="0.25">
      <c r="A29" s="101" t="s">
        <v>257</v>
      </c>
      <c r="B29" s="999"/>
      <c r="C29" s="999"/>
      <c r="D29" s="999"/>
      <c r="E29" s="999"/>
    </row>
    <row r="31" spans="1:15" x14ac:dyDescent="0.25">
      <c r="A31" s="603" t="s">
        <v>1065</v>
      </c>
      <c r="B31" s="1003" t="s">
        <v>675</v>
      </c>
      <c r="C31" s="1003"/>
      <c r="D31" s="1003"/>
      <c r="E31" s="575" t="s">
        <v>676</v>
      </c>
    </row>
    <row r="32" spans="1:15"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577"/>
      <c r="E43" s="94" t="s">
        <v>730</v>
      </c>
    </row>
    <row r="44" spans="1:12" x14ac:dyDescent="0.25">
      <c r="A44" s="57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8">
    <mergeCell ref="G67:L67"/>
    <mergeCell ref="B68:F68"/>
    <mergeCell ref="G68:L68"/>
    <mergeCell ref="B69:F69"/>
    <mergeCell ref="G69:L69"/>
    <mergeCell ref="A63:A69"/>
    <mergeCell ref="B63:F63"/>
    <mergeCell ref="G63:L63"/>
    <mergeCell ref="B64:F64"/>
    <mergeCell ref="G64:L64"/>
    <mergeCell ref="B65:F65"/>
    <mergeCell ref="G65:L65"/>
    <mergeCell ref="B66:F66"/>
    <mergeCell ref="G66:L66"/>
    <mergeCell ref="B67:F67"/>
    <mergeCell ref="B51:F51"/>
    <mergeCell ref="G51:L51"/>
    <mergeCell ref="B60:F60"/>
    <mergeCell ref="G60:L60"/>
    <mergeCell ref="B61:F61"/>
    <mergeCell ref="G61:L61"/>
    <mergeCell ref="B62:F62"/>
    <mergeCell ref="G62:L62"/>
    <mergeCell ref="B57:F57"/>
    <mergeCell ref="G57:L57"/>
    <mergeCell ref="B58:F58"/>
    <mergeCell ref="G58:L58"/>
    <mergeCell ref="B59:F59"/>
    <mergeCell ref="G59:L59"/>
    <mergeCell ref="A52:A62"/>
    <mergeCell ref="B52:F52"/>
    <mergeCell ref="G52:L52"/>
    <mergeCell ref="B53:F53"/>
    <mergeCell ref="G53:L53"/>
    <mergeCell ref="B41:D41"/>
    <mergeCell ref="B42:D42"/>
    <mergeCell ref="B44:D44"/>
    <mergeCell ref="G46:L46"/>
    <mergeCell ref="A47:A51"/>
    <mergeCell ref="B47:F47"/>
    <mergeCell ref="G47:L47"/>
    <mergeCell ref="B48:F48"/>
    <mergeCell ref="G48:L48"/>
    <mergeCell ref="B49:F49"/>
    <mergeCell ref="B54:F54"/>
    <mergeCell ref="G54:L54"/>
    <mergeCell ref="B55:F55"/>
    <mergeCell ref="G55:L55"/>
    <mergeCell ref="B56:F56"/>
    <mergeCell ref="G56:L56"/>
    <mergeCell ref="G49:L49"/>
    <mergeCell ref="B50:F50"/>
    <mergeCell ref="G50:L50"/>
    <mergeCell ref="B36:D36"/>
    <mergeCell ref="B37:D37"/>
    <mergeCell ref="B38:D38"/>
    <mergeCell ref="B39:D39"/>
    <mergeCell ref="B40:D40"/>
    <mergeCell ref="G40:I40"/>
    <mergeCell ref="B33:D33"/>
    <mergeCell ref="H33:I33"/>
    <mergeCell ref="B34:D34"/>
    <mergeCell ref="H34:I34"/>
    <mergeCell ref="B35:D35"/>
    <mergeCell ref="H35:I35"/>
    <mergeCell ref="B28:E28"/>
    <mergeCell ref="G28:H28"/>
    <mergeCell ref="B29:E29"/>
    <mergeCell ref="B31:D31"/>
    <mergeCell ref="B32:D32"/>
    <mergeCell ref="G32:I32"/>
    <mergeCell ref="B25:E25"/>
    <mergeCell ref="B26:E26"/>
    <mergeCell ref="G26:H26"/>
    <mergeCell ref="B27:E27"/>
    <mergeCell ref="G27:H27"/>
    <mergeCell ref="B21:E21"/>
    <mergeCell ref="B22:E22"/>
    <mergeCell ref="B23:E23"/>
    <mergeCell ref="B24:E24"/>
    <mergeCell ref="B17:E17"/>
    <mergeCell ref="B18:E18"/>
    <mergeCell ref="B19:E19"/>
    <mergeCell ref="B20:E20"/>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A1:E1"/>
    <mergeCell ref="B2:E2"/>
    <mergeCell ref="G2:H2"/>
    <mergeCell ref="B3:E3"/>
    <mergeCell ref="G3:H3"/>
    <mergeCell ref="B4:E4"/>
    <mergeCell ref="G4:H4"/>
  </mergeCells>
  <conditionalFormatting sqref="B5">
    <cfRule type="containsText" dxfId="134" priority="1" operator="containsText" text="Terminé">
      <formula>NOT(ISERROR(SEARCH("Terminé",B5)))</formula>
    </cfRule>
    <cfRule type="containsText" dxfId="133" priority="2" operator="containsText" text="En cours">
      <formula>NOT(ISERROR(SEARCH("En cours",B5)))</formula>
    </cfRule>
    <cfRule type="containsText" dxfId="13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9"/>
  <sheetViews>
    <sheetView topLeftCell="B19" zoomScale="115" zoomScaleNormal="115"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1001" t="s">
        <v>937</v>
      </c>
      <c r="B1" s="1001"/>
      <c r="C1" s="1001"/>
      <c r="D1" s="1001"/>
      <c r="E1" s="1001"/>
      <c r="F1" s="276"/>
      <c r="G1" s="7"/>
      <c r="H1" s="7"/>
    </row>
    <row r="2" spans="1:28" ht="19.5" customHeight="1" x14ac:dyDescent="0.25">
      <c r="A2" s="415" t="s">
        <v>750</v>
      </c>
      <c r="B2" s="1068" t="s">
        <v>805</v>
      </c>
      <c r="C2" s="1068"/>
      <c r="D2" s="1068"/>
      <c r="E2" s="1068"/>
      <c r="F2" s="7"/>
      <c r="G2" s="986" t="s">
        <v>751</v>
      </c>
      <c r="H2" s="986"/>
    </row>
    <row r="3" spans="1:28" ht="19.5" customHeight="1" x14ac:dyDescent="0.25">
      <c r="A3" s="409" t="s">
        <v>743</v>
      </c>
      <c r="B3" s="987" t="s">
        <v>747</v>
      </c>
      <c r="C3" s="987"/>
      <c r="D3" s="987"/>
      <c r="E3" s="987"/>
      <c r="F3" s="7"/>
      <c r="G3" s="986" t="s">
        <v>752</v>
      </c>
      <c r="H3" s="986"/>
    </row>
    <row r="4" spans="1:28" ht="19.5" customHeight="1" x14ac:dyDescent="0.25">
      <c r="A4" s="403" t="s">
        <v>292</v>
      </c>
      <c r="B4" s="996" t="s">
        <v>31</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26</v>
      </c>
      <c r="C7" s="994"/>
      <c r="D7" s="994"/>
      <c r="E7" s="994"/>
      <c r="F7" s="7"/>
      <c r="G7" s="995" t="s">
        <v>756</v>
      </c>
      <c r="H7" s="995"/>
      <c r="I7" s="400"/>
      <c r="J7" s="400"/>
      <c r="Z7" s="401"/>
      <c r="AA7" s="402"/>
      <c r="AB7" s="357"/>
    </row>
    <row r="8" spans="1:28" ht="24" customHeight="1" x14ac:dyDescent="0.25">
      <c r="A8" s="207" t="s">
        <v>1</v>
      </c>
      <c r="B8" s="967" t="s">
        <v>31</v>
      </c>
      <c r="C8" s="967"/>
      <c r="D8" s="967"/>
      <c r="E8" s="967"/>
      <c r="G8" s="997" t="s">
        <v>936</v>
      </c>
      <c r="Z8" s="1028" t="s">
        <v>611</v>
      </c>
      <c r="AA8" s="1029"/>
      <c r="AB8" s="357">
        <v>0.26819999999999999</v>
      </c>
    </row>
    <row r="9" spans="1:28" ht="24" customHeight="1" x14ac:dyDescent="0.25">
      <c r="A9" s="207" t="s">
        <v>0</v>
      </c>
      <c r="B9" s="967" t="s">
        <v>1094</v>
      </c>
      <c r="C9" s="967"/>
      <c r="D9" s="967"/>
      <c r="E9" s="967"/>
      <c r="G9" s="997"/>
      <c r="Z9" s="1028" t="s">
        <v>612</v>
      </c>
      <c r="AA9" s="1029"/>
      <c r="AB9" s="357">
        <v>3.1300000000000001E-2</v>
      </c>
    </row>
    <row r="10" spans="1:28" ht="54" customHeight="1" x14ac:dyDescent="0.25">
      <c r="A10" s="207" t="s">
        <v>2</v>
      </c>
      <c r="B10" s="1123" t="s">
        <v>55</v>
      </c>
      <c r="C10" s="1124"/>
      <c r="D10" s="1124"/>
      <c r="E10" s="1125"/>
      <c r="G10" s="997"/>
      <c r="Z10" s="1028"/>
      <c r="AA10" s="1029"/>
      <c r="AB10" s="357"/>
    </row>
    <row r="11" spans="1:28" ht="54" customHeight="1" x14ac:dyDescent="0.25">
      <c r="A11" s="207" t="s">
        <v>29</v>
      </c>
      <c r="B11" s="1035" t="s">
        <v>900</v>
      </c>
      <c r="C11" s="1035"/>
      <c r="D11" s="1035"/>
      <c r="E11" s="1035"/>
      <c r="G11" s="254">
        <v>421</v>
      </c>
      <c r="H11" s="254" t="s">
        <v>215</v>
      </c>
      <c r="Z11" s="1028" t="s">
        <v>613</v>
      </c>
      <c r="AA11" s="1029"/>
      <c r="AB11" s="357">
        <v>0.26819999999999999</v>
      </c>
    </row>
    <row r="12" spans="1:28" ht="30" customHeight="1" x14ac:dyDescent="0.25">
      <c r="A12" s="207" t="s">
        <v>14</v>
      </c>
      <c r="B12" s="1010" t="s">
        <v>607</v>
      </c>
      <c r="C12" s="1010"/>
      <c r="D12" s="1010"/>
      <c r="E12" s="1010"/>
      <c r="G12" s="252">
        <v>2772</v>
      </c>
      <c r="H12" s="252" t="s">
        <v>513</v>
      </c>
      <c r="Z12" s="1028" t="s">
        <v>614</v>
      </c>
      <c r="AA12" s="1029"/>
      <c r="AB12" s="357">
        <v>1.18E-2</v>
      </c>
    </row>
    <row r="13" spans="1:28" ht="30" customHeight="1" x14ac:dyDescent="0.25">
      <c r="A13" s="207" t="s">
        <v>3</v>
      </c>
      <c r="B13" s="1010"/>
      <c r="C13" s="1010"/>
      <c r="D13" s="1010"/>
      <c r="E13" s="1010"/>
      <c r="G13" s="277"/>
      <c r="H13" s="278" t="s">
        <v>427</v>
      </c>
      <c r="Z13" s="1028" t="s">
        <v>615</v>
      </c>
      <c r="AA13" s="1029"/>
      <c r="AB13" s="358">
        <f>AB15/0.55</f>
        <v>0.50363636363636366</v>
      </c>
    </row>
    <row r="14" spans="1:28" ht="30" customHeight="1" x14ac:dyDescent="0.25">
      <c r="A14" s="207" t="s">
        <v>15</v>
      </c>
      <c r="B14" s="1010"/>
      <c r="C14" s="1010"/>
      <c r="D14" s="1010"/>
      <c r="E14" s="1010"/>
      <c r="Z14" s="1028" t="s">
        <v>616</v>
      </c>
      <c r="AA14" s="1029"/>
      <c r="AB14" s="357">
        <v>0.26819999999999999</v>
      </c>
    </row>
    <row r="15" spans="1:28" ht="30" customHeight="1" x14ac:dyDescent="0.25">
      <c r="A15" s="207" t="s">
        <v>4</v>
      </c>
      <c r="B15" s="1010">
        <v>2007</v>
      </c>
      <c r="C15" s="1010"/>
      <c r="D15" s="1010"/>
      <c r="E15" s="1010"/>
      <c r="G15" s="59" t="s">
        <v>139</v>
      </c>
      <c r="H15" s="59" t="s">
        <v>514</v>
      </c>
      <c r="I15" s="59" t="s">
        <v>141</v>
      </c>
      <c r="J15" s="60" t="s">
        <v>142</v>
      </c>
      <c r="K15" s="60" t="s">
        <v>143</v>
      </c>
      <c r="L15" s="60" t="s">
        <v>119</v>
      </c>
      <c r="M15" s="60" t="s">
        <v>246</v>
      </c>
      <c r="Z15" s="1028" t="s">
        <v>578</v>
      </c>
      <c r="AA15" s="1029"/>
      <c r="AB15" s="357">
        <v>0.27700000000000002</v>
      </c>
    </row>
    <row r="16" spans="1:28" ht="30" customHeight="1" x14ac:dyDescent="0.25">
      <c r="A16" s="207" t="s">
        <v>5</v>
      </c>
      <c r="B16" s="1010">
        <v>2017</v>
      </c>
      <c r="C16" s="1010"/>
      <c r="D16" s="1010"/>
      <c r="E16" s="1010"/>
      <c r="G16" s="59">
        <f>SUM(G12:L12)</f>
        <v>2772</v>
      </c>
      <c r="H16" s="59">
        <f>G16*M16</f>
        <v>2494800</v>
      </c>
      <c r="I16" s="59">
        <v>2.2000000000000002</v>
      </c>
      <c r="J16" s="60">
        <v>0.24</v>
      </c>
      <c r="K16" s="60">
        <v>65</v>
      </c>
      <c r="L16" s="359">
        <f>AB13</f>
        <v>0.50363636363636366</v>
      </c>
      <c r="M16" s="60">
        <v>900</v>
      </c>
      <c r="Z16" s="1028" t="s">
        <v>579</v>
      </c>
      <c r="AA16" s="1029"/>
      <c r="AB16" s="357">
        <v>0.20269999999999999</v>
      </c>
    </row>
    <row r="17" spans="1:9" ht="30" customHeight="1" x14ac:dyDescent="0.25">
      <c r="A17" s="207" t="s">
        <v>6</v>
      </c>
      <c r="B17" s="1000">
        <f>G16*1000*I16</f>
        <v>6098400.0000000009</v>
      </c>
      <c r="C17" s="1000"/>
      <c r="D17" s="1000"/>
      <c r="E17" s="1000"/>
    </row>
    <row r="18" spans="1:9" ht="30" customHeight="1" x14ac:dyDescent="0.25">
      <c r="A18" s="207" t="s">
        <v>7</v>
      </c>
      <c r="B18" s="1000">
        <f>SUM(G13:L13)</f>
        <v>0</v>
      </c>
      <c r="C18" s="1000"/>
      <c r="D18" s="1000"/>
      <c r="E18" s="1000"/>
    </row>
    <row r="19" spans="1:9" ht="30" customHeight="1" x14ac:dyDescent="0.25">
      <c r="A19" s="99" t="s">
        <v>307</v>
      </c>
      <c r="B19" s="1039"/>
      <c r="C19" s="1040"/>
      <c r="D19" s="1040"/>
      <c r="E19" s="1040"/>
    </row>
    <row r="20" spans="1:9" ht="30" customHeight="1" x14ac:dyDescent="0.25">
      <c r="A20" s="96" t="s">
        <v>306</v>
      </c>
      <c r="B20" s="1041">
        <f>H16</f>
        <v>2494800</v>
      </c>
      <c r="C20" s="1042"/>
      <c r="D20" s="1042"/>
      <c r="E20" s="1042"/>
    </row>
    <row r="21" spans="1:9" ht="30" customHeight="1" x14ac:dyDescent="0.25">
      <c r="A21" s="207" t="s">
        <v>8</v>
      </c>
      <c r="B21" s="1000">
        <f>B20*J16</f>
        <v>598752</v>
      </c>
      <c r="C21" s="1000"/>
      <c r="D21" s="1000"/>
      <c r="E21" s="1000"/>
    </row>
    <row r="22" spans="1:9" ht="30" customHeight="1" x14ac:dyDescent="0.25">
      <c r="A22" s="207" t="s">
        <v>9</v>
      </c>
      <c r="B22" s="1000">
        <f>B20/1000*K16*4</f>
        <v>648648</v>
      </c>
      <c r="C22" s="1000"/>
      <c r="D22" s="1000"/>
      <c r="E22" s="1000"/>
    </row>
    <row r="23" spans="1:9" ht="30" customHeight="1" x14ac:dyDescent="0.25">
      <c r="A23" s="207" t="s">
        <v>301</v>
      </c>
      <c r="B23" s="1016">
        <f>B17/(B21+B22)</f>
        <v>4.8888888888888893</v>
      </c>
      <c r="C23" s="1016"/>
      <c r="D23" s="1016"/>
      <c r="E23" s="1016"/>
    </row>
    <row r="24" spans="1:9" ht="30" customHeight="1" x14ac:dyDescent="0.25">
      <c r="A24" s="207" t="s">
        <v>302</v>
      </c>
      <c r="B24" s="1017">
        <f>(B17-B18)/(B21+B22)</f>
        <v>4.8888888888888893</v>
      </c>
      <c r="C24" s="1017"/>
      <c r="D24" s="1017"/>
      <c r="E24" s="1017"/>
    </row>
    <row r="25" spans="1:9" ht="30" customHeight="1" x14ac:dyDescent="0.25">
      <c r="A25" s="100" t="s">
        <v>305</v>
      </c>
      <c r="B25" s="1070">
        <f>B20/1000*L16</f>
        <v>1256.4720000000002</v>
      </c>
      <c r="C25" s="1070"/>
      <c r="D25" s="1070"/>
      <c r="E25" s="1070"/>
    </row>
    <row r="26" spans="1:9" ht="30" customHeight="1" x14ac:dyDescent="0.25">
      <c r="A26" s="101" t="s">
        <v>303</v>
      </c>
      <c r="B26" s="1058">
        <f>+B25/'[3]Objectifs CO2'!C7</f>
        <v>0.43884277565994517</v>
      </c>
      <c r="C26" s="1058"/>
      <c r="D26" s="1058"/>
      <c r="E26" s="1058"/>
    </row>
    <row r="27" spans="1:9" ht="30" customHeight="1" x14ac:dyDescent="0.25">
      <c r="A27" s="101" t="s">
        <v>304</v>
      </c>
      <c r="B27" s="1056">
        <f>B25/'[3]Objectifs CO2'!C4</f>
        <v>0.13165283269798356</v>
      </c>
      <c r="C27" s="1057"/>
      <c r="D27" s="1057"/>
      <c r="E27" s="1057"/>
    </row>
    <row r="28" spans="1:9" ht="30" customHeight="1" x14ac:dyDescent="0.25">
      <c r="A28" s="101" t="s">
        <v>22</v>
      </c>
      <c r="B28" s="999" t="s">
        <v>10</v>
      </c>
      <c r="C28" s="999"/>
      <c r="D28" s="999"/>
      <c r="E28" s="999"/>
      <c r="F28" s="41"/>
    </row>
    <row r="29" spans="1:9" ht="30" customHeight="1" x14ac:dyDescent="0.25">
      <c r="A29" s="101" t="s">
        <v>257</v>
      </c>
      <c r="B29" s="999"/>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A47:A51"/>
    <mergeCell ref="B47:F47"/>
    <mergeCell ref="G47:L47"/>
    <mergeCell ref="B48:F48"/>
    <mergeCell ref="G48:L48"/>
    <mergeCell ref="B49:F49"/>
    <mergeCell ref="G49:L49"/>
    <mergeCell ref="B50:F50"/>
    <mergeCell ref="G50:L50"/>
    <mergeCell ref="B51:F51"/>
    <mergeCell ref="G51:L51"/>
    <mergeCell ref="B15:E15"/>
    <mergeCell ref="B16:E16"/>
    <mergeCell ref="B17:E17"/>
    <mergeCell ref="B20:E20"/>
    <mergeCell ref="G46:L46"/>
    <mergeCell ref="B35:D35"/>
    <mergeCell ref="H35:I35"/>
    <mergeCell ref="B36:D36"/>
    <mergeCell ref="B42:D42"/>
    <mergeCell ref="B44:D44"/>
    <mergeCell ref="B37:D37"/>
    <mergeCell ref="B38:D38"/>
    <mergeCell ref="B39:D39"/>
    <mergeCell ref="B40:D40"/>
    <mergeCell ref="B41:D41"/>
    <mergeCell ref="B33:D33"/>
    <mergeCell ref="H33:I33"/>
    <mergeCell ref="G40:I40"/>
    <mergeCell ref="B34:D34"/>
    <mergeCell ref="H34:I34"/>
    <mergeCell ref="G8:G10"/>
    <mergeCell ref="B8:E8"/>
    <mergeCell ref="B9:E9"/>
    <mergeCell ref="B10:E10"/>
    <mergeCell ref="Z5:AB5"/>
    <mergeCell ref="Z6:AA6"/>
    <mergeCell ref="Z8:AA8"/>
    <mergeCell ref="Z9:AA9"/>
    <mergeCell ref="Z10:AA10"/>
    <mergeCell ref="G7:H7"/>
    <mergeCell ref="Z16:AA16"/>
    <mergeCell ref="Z11:AA11"/>
    <mergeCell ref="Z12:AA12"/>
    <mergeCell ref="Z13:AA13"/>
    <mergeCell ref="Z14:AA14"/>
    <mergeCell ref="Z15:AA15"/>
    <mergeCell ref="B31:D31"/>
    <mergeCell ref="B32:D32"/>
    <mergeCell ref="G32:I32"/>
    <mergeCell ref="B29:E29"/>
    <mergeCell ref="B28:E28"/>
    <mergeCell ref="B22:E22"/>
    <mergeCell ref="B27:E27"/>
    <mergeCell ref="B11:E11"/>
    <mergeCell ref="B24:E24"/>
    <mergeCell ref="B25:E25"/>
    <mergeCell ref="B26:E26"/>
    <mergeCell ref="B23:E23"/>
    <mergeCell ref="B12:E12"/>
    <mergeCell ref="B18:E18"/>
    <mergeCell ref="B19:E19"/>
    <mergeCell ref="B21:E21"/>
    <mergeCell ref="B13:E13"/>
    <mergeCell ref="B14:E14"/>
    <mergeCell ref="A1:E1"/>
    <mergeCell ref="B2:E2"/>
    <mergeCell ref="G2:H2"/>
    <mergeCell ref="B3:E3"/>
    <mergeCell ref="G3:H3"/>
    <mergeCell ref="B4:E4"/>
    <mergeCell ref="B5:E5"/>
    <mergeCell ref="B6:E6"/>
    <mergeCell ref="B7:E7"/>
    <mergeCell ref="G6:H6"/>
    <mergeCell ref="G4:H4"/>
    <mergeCell ref="G5:H5"/>
  </mergeCells>
  <conditionalFormatting sqref="B5">
    <cfRule type="containsText" dxfId="131" priority="1" operator="containsText" text="Terminé">
      <formula>NOT(ISERROR(SEARCH("Terminé",B5)))</formula>
    </cfRule>
    <cfRule type="containsText" dxfId="130" priority="2" operator="containsText" text="En cours">
      <formula>NOT(ISERROR(SEARCH("En cours",B5)))</formula>
    </cfRule>
    <cfRule type="containsText" dxfId="12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31496062992125984" right="0.11811023622047245" top="0.74803149606299213" bottom="0.74803149606299213" header="0.31496062992125984" footer="0.31496062992125984"/>
  <pageSetup paperSize="9" scale="94"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9"/>
  <sheetViews>
    <sheetView topLeftCell="B18" zoomScale="130" zoomScaleNormal="130" workbookViewId="0">
      <selection activeCell="B15" sqref="B15:E1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7" width="11.7109375" style="6" customWidth="1"/>
    <col min="8" max="16384" width="11.42578125" style="6"/>
  </cols>
  <sheetData>
    <row r="1" spans="1:28" ht="26.25" x14ac:dyDescent="0.4">
      <c r="A1" s="1001" t="s">
        <v>937</v>
      </c>
      <c r="B1" s="1001"/>
      <c r="C1" s="1001"/>
      <c r="D1" s="1001"/>
      <c r="E1" s="1001"/>
      <c r="F1" s="7"/>
      <c r="G1" s="7"/>
      <c r="H1" s="7"/>
    </row>
    <row r="2" spans="1:28" ht="19.5" customHeight="1" x14ac:dyDescent="0.25">
      <c r="A2" s="415" t="s">
        <v>750</v>
      </c>
      <c r="B2" s="1068" t="s">
        <v>804</v>
      </c>
      <c r="C2" s="1068"/>
      <c r="D2" s="1068"/>
      <c r="E2" s="1068"/>
      <c r="F2" s="7"/>
      <c r="G2" s="986" t="s">
        <v>751</v>
      </c>
      <c r="H2" s="986"/>
    </row>
    <row r="3" spans="1:28" ht="19.5" customHeight="1" x14ac:dyDescent="0.25">
      <c r="A3" s="409" t="s">
        <v>743</v>
      </c>
      <c r="B3" s="987" t="s">
        <v>747</v>
      </c>
      <c r="C3" s="987"/>
      <c r="D3" s="987"/>
      <c r="E3" s="987"/>
      <c r="F3" s="7"/>
      <c r="G3" s="986" t="s">
        <v>752</v>
      </c>
      <c r="H3" s="986"/>
    </row>
    <row r="4" spans="1:28" ht="19.5" customHeight="1" x14ac:dyDescent="0.25">
      <c r="A4" s="403" t="s">
        <v>292</v>
      </c>
      <c r="B4" s="996" t="s">
        <v>38</v>
      </c>
      <c r="C4" s="996"/>
      <c r="D4" s="996"/>
      <c r="E4" s="996"/>
      <c r="F4" s="7"/>
      <c r="G4" s="986" t="s">
        <v>753</v>
      </c>
      <c r="H4" s="986"/>
    </row>
    <row r="5" spans="1:28" ht="19.5" customHeight="1" x14ac:dyDescent="0.25">
      <c r="A5" s="403" t="s">
        <v>16</v>
      </c>
      <c r="B5" s="1015" t="s">
        <v>19</v>
      </c>
      <c r="C5" s="1015"/>
      <c r="D5" s="1015"/>
      <c r="E5" s="1015"/>
      <c r="F5" s="7"/>
      <c r="G5" s="986" t="s">
        <v>754</v>
      </c>
      <c r="H5" s="986"/>
      <c r="Z5" s="1023" t="s">
        <v>609</v>
      </c>
      <c r="AA5" s="1024"/>
      <c r="AB5" s="1025"/>
    </row>
    <row r="6" spans="1:28" ht="19.5" customHeight="1" x14ac:dyDescent="0.25">
      <c r="A6" s="413" t="s">
        <v>474</v>
      </c>
      <c r="B6" s="993" t="s">
        <v>45</v>
      </c>
      <c r="C6" s="993"/>
      <c r="D6" s="993"/>
      <c r="E6" s="993"/>
      <c r="F6" s="7"/>
      <c r="G6" s="986" t="s">
        <v>755</v>
      </c>
      <c r="H6" s="986"/>
      <c r="Z6" s="1026"/>
      <c r="AA6" s="1027"/>
      <c r="AB6" s="357" t="s">
        <v>610</v>
      </c>
    </row>
    <row r="7" spans="1:28" ht="19.5" customHeight="1" x14ac:dyDescent="0.25">
      <c r="A7" s="253" t="s">
        <v>475</v>
      </c>
      <c r="B7" s="994" t="s">
        <v>26</v>
      </c>
      <c r="C7" s="994"/>
      <c r="D7" s="994"/>
      <c r="E7" s="994"/>
      <c r="F7" s="7"/>
      <c r="G7" s="995" t="s">
        <v>756</v>
      </c>
      <c r="H7" s="995"/>
      <c r="I7" s="400"/>
      <c r="J7" s="400"/>
      <c r="Z7" s="498"/>
      <c r="AA7" s="499"/>
      <c r="AB7" s="357"/>
    </row>
    <row r="8" spans="1:28" ht="24" customHeight="1" x14ac:dyDescent="0.25">
      <c r="A8" s="222" t="s">
        <v>1</v>
      </c>
      <c r="B8" s="967" t="s">
        <v>1000</v>
      </c>
      <c r="C8" s="967"/>
      <c r="D8" s="967"/>
      <c r="E8" s="967"/>
      <c r="G8" s="997" t="s">
        <v>936</v>
      </c>
      <c r="Z8" s="1028" t="s">
        <v>611</v>
      </c>
      <c r="AA8" s="1029"/>
      <c r="AB8" s="357">
        <v>0.26819999999999999</v>
      </c>
    </row>
    <row r="9" spans="1:28" ht="24" customHeight="1" x14ac:dyDescent="0.25">
      <c r="A9" s="222" t="s">
        <v>0</v>
      </c>
      <c r="B9" s="967" t="s">
        <v>1095</v>
      </c>
      <c r="C9" s="967"/>
      <c r="D9" s="967"/>
      <c r="E9" s="967"/>
      <c r="G9" s="997"/>
      <c r="Z9" s="1028" t="s">
        <v>612</v>
      </c>
      <c r="AA9" s="1029"/>
      <c r="AB9" s="357">
        <v>3.1300000000000001E-2</v>
      </c>
    </row>
    <row r="10" spans="1:28" ht="36.75" customHeight="1" x14ac:dyDescent="0.25">
      <c r="A10" s="222" t="s">
        <v>2</v>
      </c>
      <c r="B10" s="1034" t="s">
        <v>499</v>
      </c>
      <c r="C10" s="1034"/>
      <c r="D10" s="1034"/>
      <c r="E10" s="1034"/>
      <c r="G10" s="997"/>
      <c r="Z10" s="1028"/>
      <c r="AA10" s="1029"/>
      <c r="AB10" s="357"/>
    </row>
    <row r="11" spans="1:28" ht="35.25" customHeight="1" x14ac:dyDescent="0.25">
      <c r="A11" s="222" t="s">
        <v>29</v>
      </c>
      <c r="B11" s="1035"/>
      <c r="C11" s="1035"/>
      <c r="D11" s="1035"/>
      <c r="E11" s="1035"/>
      <c r="G11" s="254">
        <v>2</v>
      </c>
      <c r="H11" s="254" t="s">
        <v>215</v>
      </c>
      <c r="Z11" s="1028" t="s">
        <v>613</v>
      </c>
      <c r="AA11" s="1029"/>
      <c r="AB11" s="357">
        <v>0.26819999999999999</v>
      </c>
    </row>
    <row r="12" spans="1:28" ht="30" customHeight="1" x14ac:dyDescent="0.25">
      <c r="A12" s="222" t="s">
        <v>14</v>
      </c>
      <c r="B12" s="1010" t="s">
        <v>38</v>
      </c>
      <c r="C12" s="1010"/>
      <c r="D12" s="1010"/>
      <c r="E12" s="1010"/>
      <c r="G12" s="433">
        <f>SUM(H19:H24)</f>
        <v>1243</v>
      </c>
      <c r="H12" s="433" t="s">
        <v>513</v>
      </c>
      <c r="Z12" s="1028" t="s">
        <v>614</v>
      </c>
      <c r="AA12" s="1029"/>
      <c r="AB12" s="357">
        <v>1.18E-2</v>
      </c>
    </row>
    <row r="13" spans="1:28" ht="30" customHeight="1" x14ac:dyDescent="0.25">
      <c r="A13" s="222" t="s">
        <v>3</v>
      </c>
      <c r="B13" s="1010"/>
      <c r="C13" s="1010"/>
      <c r="D13" s="1010"/>
      <c r="E13" s="1010"/>
      <c r="G13" s="277"/>
      <c r="H13" s="278" t="s">
        <v>427</v>
      </c>
      <c r="Z13" s="1028" t="s">
        <v>615</v>
      </c>
      <c r="AA13" s="1029"/>
      <c r="AB13" s="358">
        <f>AB15/0.55</f>
        <v>0.50363636363636366</v>
      </c>
    </row>
    <row r="14" spans="1:28" ht="30" customHeight="1" x14ac:dyDescent="0.25">
      <c r="A14" s="222" t="s">
        <v>15</v>
      </c>
      <c r="B14" s="1010"/>
      <c r="C14" s="1010"/>
      <c r="D14" s="1010"/>
      <c r="E14" s="1010"/>
      <c r="Z14" s="1028" t="s">
        <v>616</v>
      </c>
      <c r="AA14" s="1029"/>
      <c r="AB14" s="357">
        <v>0.26819999999999999</v>
      </c>
    </row>
    <row r="15" spans="1:28" ht="30" customHeight="1" x14ac:dyDescent="0.25">
      <c r="A15" s="222" t="s">
        <v>4</v>
      </c>
      <c r="B15" s="1010">
        <v>2018</v>
      </c>
      <c r="C15" s="1010"/>
      <c r="D15" s="1010"/>
      <c r="E15" s="1010"/>
      <c r="G15" s="59" t="s">
        <v>139</v>
      </c>
      <c r="H15" s="59" t="s">
        <v>140</v>
      </c>
      <c r="I15" s="59" t="s">
        <v>141</v>
      </c>
      <c r="J15" s="59" t="s">
        <v>498</v>
      </c>
      <c r="K15" s="60" t="s">
        <v>142</v>
      </c>
      <c r="L15" s="60" t="s">
        <v>143</v>
      </c>
      <c r="M15" s="60" t="s">
        <v>119</v>
      </c>
      <c r="Z15" s="1028" t="s">
        <v>578</v>
      </c>
      <c r="AA15" s="1029"/>
      <c r="AB15" s="357">
        <v>0.27700000000000002</v>
      </c>
    </row>
    <row r="16" spans="1:28" ht="30" customHeight="1" x14ac:dyDescent="0.25">
      <c r="A16" s="222" t="s">
        <v>5</v>
      </c>
      <c r="B16" s="1010">
        <v>2018</v>
      </c>
      <c r="C16" s="1010"/>
      <c r="D16" s="1010"/>
      <c r="E16" s="1010"/>
      <c r="G16" s="59">
        <f>SUM(G12:L12)</f>
        <v>1243</v>
      </c>
      <c r="H16" s="59">
        <f>G16*J16</f>
        <v>1118700</v>
      </c>
      <c r="I16" s="59">
        <v>1.335</v>
      </c>
      <c r="J16" s="59">
        <v>900</v>
      </c>
      <c r="K16" s="60">
        <v>0.24</v>
      </c>
      <c r="L16" s="60">
        <v>65</v>
      </c>
      <c r="M16" s="359">
        <f>AB13</f>
        <v>0.50363636363636366</v>
      </c>
      <c r="Z16" s="1028" t="s">
        <v>579</v>
      </c>
      <c r="AA16" s="1029"/>
      <c r="AB16" s="357">
        <v>0.20269999999999999</v>
      </c>
    </row>
    <row r="17" spans="1:9" ht="30" customHeight="1" x14ac:dyDescent="0.25">
      <c r="A17" s="222" t="s">
        <v>6</v>
      </c>
      <c r="B17" s="1000">
        <f>G16*1000*I16</f>
        <v>1659405</v>
      </c>
      <c r="C17" s="1000"/>
      <c r="D17" s="1000"/>
      <c r="E17" s="1000"/>
    </row>
    <row r="18" spans="1:9" ht="30" customHeight="1" x14ac:dyDescent="0.25">
      <c r="A18" s="222" t="s">
        <v>7</v>
      </c>
      <c r="B18" s="1000">
        <v>0</v>
      </c>
      <c r="C18" s="1000"/>
      <c r="D18" s="1000"/>
      <c r="E18" s="1000"/>
      <c r="G18" s="6" t="s">
        <v>502</v>
      </c>
      <c r="H18" s="6" t="s">
        <v>901</v>
      </c>
    </row>
    <row r="19" spans="1:9" ht="30" customHeight="1" x14ac:dyDescent="0.25">
      <c r="A19" s="99" t="s">
        <v>307</v>
      </c>
      <c r="B19" s="1039"/>
      <c r="C19" s="1040"/>
      <c r="D19" s="1040"/>
      <c r="E19" s="1040"/>
      <c r="F19" s="33"/>
      <c r="G19" s="79" t="s">
        <v>1257</v>
      </c>
      <c r="H19" s="79">
        <v>249</v>
      </c>
      <c r="I19" s="6">
        <v>2012</v>
      </c>
    </row>
    <row r="20" spans="1:9" ht="30" customHeight="1" x14ac:dyDescent="0.25">
      <c r="A20" s="96" t="s">
        <v>306</v>
      </c>
      <c r="B20" s="1041">
        <f>H16</f>
        <v>1118700</v>
      </c>
      <c r="C20" s="1042"/>
      <c r="D20" s="1042"/>
      <c r="E20" s="1042"/>
      <c r="G20" s="79" t="s">
        <v>1258</v>
      </c>
      <c r="H20" s="79">
        <v>994</v>
      </c>
      <c r="I20" s="6">
        <v>2016</v>
      </c>
    </row>
    <row r="21" spans="1:9" ht="30" customHeight="1" x14ac:dyDescent="0.25">
      <c r="A21" s="222" t="s">
        <v>8</v>
      </c>
      <c r="B21" s="1000">
        <f>B20*K16</f>
        <v>268488</v>
      </c>
      <c r="C21" s="1000"/>
      <c r="D21" s="1000"/>
      <c r="E21" s="1000"/>
      <c r="G21" s="234"/>
      <c r="H21" s="79"/>
    </row>
    <row r="22" spans="1:9" ht="30" customHeight="1" x14ac:dyDescent="0.25">
      <c r="A22" s="222" t="s">
        <v>9</v>
      </c>
      <c r="B22" s="1000">
        <f>B20/1000*L16*4</f>
        <v>290862</v>
      </c>
      <c r="C22" s="1000"/>
      <c r="D22" s="1000"/>
      <c r="E22" s="1000"/>
      <c r="G22" s="234"/>
      <c r="H22" s="79"/>
    </row>
    <row r="23" spans="1:9" ht="30" customHeight="1" x14ac:dyDescent="0.25">
      <c r="A23" s="222" t="s">
        <v>301</v>
      </c>
      <c r="B23" s="1016">
        <f>B17/(B21+B22)</f>
        <v>2.9666666666666668</v>
      </c>
      <c r="C23" s="1016"/>
      <c r="D23" s="1016"/>
      <c r="E23" s="1016"/>
      <c r="G23" s="234"/>
      <c r="H23" s="79"/>
    </row>
    <row r="24" spans="1:9" ht="30" customHeight="1" x14ac:dyDescent="0.25">
      <c r="A24" s="222" t="s">
        <v>302</v>
      </c>
      <c r="B24" s="1017">
        <f>(B17-B18)/(B21+B22)</f>
        <v>2.9666666666666668</v>
      </c>
      <c r="C24" s="1017"/>
      <c r="D24" s="1017"/>
      <c r="E24" s="1017"/>
      <c r="G24" s="234"/>
      <c r="H24" s="79"/>
    </row>
    <row r="25" spans="1:9" ht="30" customHeight="1" x14ac:dyDescent="0.25">
      <c r="A25" s="100" t="s">
        <v>305</v>
      </c>
      <c r="B25" s="1070">
        <f>B20/1000*M16</f>
        <v>563.41800000000001</v>
      </c>
      <c r="C25" s="1070"/>
      <c r="D25" s="1070"/>
      <c r="E25" s="1070"/>
    </row>
    <row r="26" spans="1:9" ht="30" customHeight="1" x14ac:dyDescent="0.25">
      <c r="A26" s="101" t="s">
        <v>303</v>
      </c>
      <c r="B26" s="1071">
        <f>B25/'[3]Objectifs CO2'!C6</f>
        <v>1.1806960392755665</v>
      </c>
      <c r="C26" s="1071"/>
      <c r="D26" s="1071"/>
      <c r="E26" s="1071"/>
    </row>
    <row r="27" spans="1:9" ht="30" customHeight="1" x14ac:dyDescent="0.25">
      <c r="A27" s="101" t="s">
        <v>304</v>
      </c>
      <c r="B27" s="1056">
        <f>B25/'[3]Objectifs CO2'!C4</f>
        <v>5.9034801963778326E-2</v>
      </c>
      <c r="C27" s="1057"/>
      <c r="D27" s="1057"/>
      <c r="E27" s="1057"/>
    </row>
    <row r="28" spans="1:9" ht="30" customHeight="1" x14ac:dyDescent="0.25">
      <c r="A28" s="101" t="s">
        <v>22</v>
      </c>
      <c r="B28" s="999" t="s">
        <v>10</v>
      </c>
      <c r="C28" s="999"/>
      <c r="D28" s="999"/>
      <c r="E28" s="999"/>
    </row>
    <row r="29" spans="1:9" ht="30" customHeight="1" x14ac:dyDescent="0.25">
      <c r="A29" s="101" t="s">
        <v>257</v>
      </c>
      <c r="B29" s="999"/>
      <c r="C29" s="999"/>
      <c r="D29" s="999"/>
      <c r="E29" s="999"/>
    </row>
    <row r="31" spans="1:9" x14ac:dyDescent="0.25">
      <c r="A31" s="603" t="s">
        <v>1065</v>
      </c>
      <c r="B31" s="1003" t="s">
        <v>675</v>
      </c>
      <c r="C31" s="1003"/>
      <c r="D31" s="1003"/>
      <c r="E31" s="56" t="s">
        <v>676</v>
      </c>
    </row>
    <row r="32" spans="1:9" x14ac:dyDescent="0.25">
      <c r="A32" s="377"/>
      <c r="B32" s="992" t="s">
        <v>677</v>
      </c>
      <c r="C32" s="992"/>
      <c r="D32" s="992"/>
      <c r="E32" s="374"/>
      <c r="G32" s="1004" t="s">
        <v>676</v>
      </c>
      <c r="H32" s="1004"/>
      <c r="I32" s="1004"/>
    </row>
    <row r="33" spans="1:12" x14ac:dyDescent="0.25">
      <c r="A33" s="377"/>
      <c r="B33" s="992" t="s">
        <v>678</v>
      </c>
      <c r="C33" s="992"/>
      <c r="D33" s="992"/>
      <c r="E33" s="374"/>
      <c r="G33" s="375">
        <v>3</v>
      </c>
      <c r="H33" s="1004" t="s">
        <v>679</v>
      </c>
      <c r="I33" s="1004"/>
    </row>
    <row r="34" spans="1:12" x14ac:dyDescent="0.25">
      <c r="A34" s="377"/>
      <c r="B34" s="992" t="s">
        <v>680</v>
      </c>
      <c r="C34" s="992"/>
      <c r="D34" s="992"/>
      <c r="E34" s="374"/>
      <c r="G34" s="375">
        <v>2</v>
      </c>
      <c r="H34" s="1004" t="s">
        <v>681</v>
      </c>
      <c r="I34" s="1004"/>
    </row>
    <row r="35" spans="1:12" x14ac:dyDescent="0.25">
      <c r="A35" s="377"/>
      <c r="B35" s="992" t="s">
        <v>682</v>
      </c>
      <c r="C35" s="992"/>
      <c r="D35" s="992"/>
      <c r="E35" s="374"/>
      <c r="G35" s="375">
        <v>1</v>
      </c>
      <c r="H35" s="1004" t="s">
        <v>683</v>
      </c>
      <c r="I35" s="1004"/>
    </row>
    <row r="36" spans="1:12" x14ac:dyDescent="0.25">
      <c r="A36" s="377"/>
      <c r="B36" s="992" t="s">
        <v>684</v>
      </c>
      <c r="C36" s="992"/>
      <c r="D36" s="992"/>
      <c r="E36" s="374"/>
    </row>
    <row r="37" spans="1:12" x14ac:dyDescent="0.25">
      <c r="A37" s="377"/>
      <c r="B37" s="992" t="s">
        <v>685</v>
      </c>
      <c r="C37" s="992"/>
      <c r="D37" s="992"/>
      <c r="E37" s="374"/>
    </row>
    <row r="38" spans="1:12" x14ac:dyDescent="0.25">
      <c r="A38" s="377"/>
      <c r="B38" s="992" t="s">
        <v>686</v>
      </c>
      <c r="C38" s="992"/>
      <c r="D38" s="992"/>
      <c r="E38" s="374"/>
    </row>
    <row r="39" spans="1:12" x14ac:dyDescent="0.25">
      <c r="A39" s="377"/>
      <c r="B39" s="992" t="s">
        <v>687</v>
      </c>
      <c r="C39" s="992"/>
      <c r="D39" s="992"/>
      <c r="E39" s="374"/>
    </row>
    <row r="40" spans="1:12" x14ac:dyDescent="0.25">
      <c r="A40" s="377"/>
      <c r="B40" s="992" t="s">
        <v>688</v>
      </c>
      <c r="C40" s="992"/>
      <c r="D40" s="992"/>
      <c r="E40" s="374"/>
      <c r="G40" s="1005" t="s">
        <v>689</v>
      </c>
      <c r="H40" s="1005"/>
      <c r="I40" s="1005"/>
    </row>
    <row r="41" spans="1:12" x14ac:dyDescent="0.25">
      <c r="A41" s="377"/>
      <c r="B41" s="992" t="s">
        <v>843</v>
      </c>
      <c r="C41" s="992"/>
      <c r="D41" s="992"/>
      <c r="E41" s="374"/>
      <c r="G41" s="377" t="s">
        <v>690</v>
      </c>
      <c r="H41" s="378" t="s">
        <v>691</v>
      </c>
      <c r="I41" s="377" t="s">
        <v>692</v>
      </c>
    </row>
    <row r="42" spans="1:12" x14ac:dyDescent="0.25">
      <c r="A42" s="377"/>
      <c r="B42" s="988" t="s">
        <v>247</v>
      </c>
      <c r="C42" s="988"/>
      <c r="D42" s="988"/>
      <c r="E42" s="376">
        <f>SUM(E32:E40)</f>
        <v>0</v>
      </c>
      <c r="G42" s="377" t="s">
        <v>693</v>
      </c>
      <c r="H42" s="377" t="s">
        <v>694</v>
      </c>
      <c r="I42" s="377" t="s">
        <v>695</v>
      </c>
    </row>
    <row r="43" spans="1:12" x14ac:dyDescent="0.25">
      <c r="A43" s="497"/>
      <c r="E43" s="94" t="s">
        <v>730</v>
      </c>
    </row>
    <row r="44" spans="1:12" x14ac:dyDescent="0.25">
      <c r="A44" s="497"/>
      <c r="B44" s="989" t="s">
        <v>696</v>
      </c>
      <c r="C44" s="990"/>
      <c r="D44" s="991"/>
      <c r="E44" s="267">
        <v>1</v>
      </c>
      <c r="G44" s="377">
        <v>1</v>
      </c>
      <c r="H44" s="377" t="s">
        <v>697</v>
      </c>
    </row>
    <row r="45" spans="1:12" x14ac:dyDescent="0.25">
      <c r="G45" s="377">
        <v>0</v>
      </c>
      <c r="H45" s="377" t="s">
        <v>698</v>
      </c>
    </row>
    <row r="46" spans="1:12" x14ac:dyDescent="0.25">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5">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Z16:AA16"/>
    <mergeCell ref="Z11:AA11"/>
    <mergeCell ref="Z12:AA12"/>
    <mergeCell ref="Z13:AA13"/>
    <mergeCell ref="Z14:AA14"/>
    <mergeCell ref="Z15:AA15"/>
    <mergeCell ref="Z5:AB5"/>
    <mergeCell ref="Z6:AA6"/>
    <mergeCell ref="Z8:AA8"/>
    <mergeCell ref="Z9:AA9"/>
    <mergeCell ref="Z10:AA10"/>
    <mergeCell ref="G4:H4"/>
    <mergeCell ref="G5:H5"/>
    <mergeCell ref="G6:H6"/>
    <mergeCell ref="G8:G10"/>
    <mergeCell ref="G7:H7"/>
    <mergeCell ref="B4:E4"/>
    <mergeCell ref="B5:E5"/>
    <mergeCell ref="B6:E6"/>
    <mergeCell ref="B7:E7"/>
    <mergeCell ref="B12:E12"/>
    <mergeCell ref="B24:E24"/>
    <mergeCell ref="B9:E9"/>
    <mergeCell ref="B17:E17"/>
    <mergeCell ref="B18:E18"/>
    <mergeCell ref="B19:E19"/>
    <mergeCell ref="B16:E16"/>
    <mergeCell ref="B20:E20"/>
    <mergeCell ref="B13:E13"/>
    <mergeCell ref="B14:E14"/>
    <mergeCell ref="B15:E15"/>
    <mergeCell ref="B42:D42"/>
    <mergeCell ref="B44:D44"/>
    <mergeCell ref="B37:D37"/>
    <mergeCell ref="B38:D38"/>
    <mergeCell ref="B39:D39"/>
    <mergeCell ref="B40:D40"/>
    <mergeCell ref="B41:D41"/>
    <mergeCell ref="B31:D31"/>
    <mergeCell ref="B32:D32"/>
    <mergeCell ref="B33:D33"/>
    <mergeCell ref="A1:E1"/>
    <mergeCell ref="B2:E2"/>
    <mergeCell ref="G2:H2"/>
    <mergeCell ref="B3:E3"/>
    <mergeCell ref="G3:H3"/>
    <mergeCell ref="G40:I40"/>
    <mergeCell ref="B34:D34"/>
    <mergeCell ref="H34:I34"/>
    <mergeCell ref="B35:D35"/>
    <mergeCell ref="H35:I35"/>
    <mergeCell ref="B36:D36"/>
    <mergeCell ref="G32:I32"/>
    <mergeCell ref="B8:E8"/>
    <mergeCell ref="H33:I33"/>
    <mergeCell ref="B25:E25"/>
    <mergeCell ref="B29:E29"/>
    <mergeCell ref="B10:E10"/>
    <mergeCell ref="B26:E26"/>
    <mergeCell ref="B27:E27"/>
    <mergeCell ref="B28:E28"/>
    <mergeCell ref="B21:E21"/>
    <mergeCell ref="B22:E22"/>
    <mergeCell ref="B23:E23"/>
    <mergeCell ref="B11:E11"/>
  </mergeCells>
  <conditionalFormatting sqref="B5">
    <cfRule type="containsText" dxfId="128" priority="1" operator="containsText" text="Terminé">
      <formula>NOT(ISERROR(SEARCH("Terminé",B5)))</formula>
    </cfRule>
    <cfRule type="containsText" dxfId="127" priority="2" operator="containsText" text="En cours">
      <formula>NOT(ISERROR(SEARCH("En cours",B5)))</formula>
    </cfRule>
    <cfRule type="containsText" dxfId="12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B1" zoomScale="130" zoomScaleNormal="130" workbookViewId="0">
      <selection activeCell="G3" sqref="G3:H3"/>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803</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31</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412</v>
      </c>
      <c r="C6" s="993"/>
      <c r="D6" s="993"/>
      <c r="E6" s="993"/>
      <c r="F6" s="7"/>
      <c r="G6" s="986" t="s">
        <v>755</v>
      </c>
      <c r="H6" s="986"/>
      <c r="I6" s="6"/>
      <c r="J6" s="6"/>
      <c r="Z6" s="1026"/>
      <c r="AA6" s="1027"/>
      <c r="AB6" s="357" t="s">
        <v>610</v>
      </c>
    </row>
    <row r="7" spans="1:28" s="6" customFormat="1" ht="19.5" customHeight="1" x14ac:dyDescent="0.25">
      <c r="A7" s="253" t="s">
        <v>475</v>
      </c>
      <c r="B7" s="994" t="s">
        <v>426</v>
      </c>
      <c r="C7" s="994"/>
      <c r="D7" s="994"/>
      <c r="E7" s="994"/>
      <c r="F7" s="7"/>
      <c r="G7" s="995" t="s">
        <v>756</v>
      </c>
      <c r="H7" s="995"/>
      <c r="I7" s="400"/>
      <c r="J7" s="400"/>
      <c r="Z7" s="401"/>
      <c r="AA7" s="402"/>
      <c r="AB7" s="357"/>
    </row>
    <row r="8" spans="1:28" ht="24" customHeight="1" x14ac:dyDescent="0.25">
      <c r="A8" s="98" t="s">
        <v>1</v>
      </c>
      <c r="B8" s="967" t="s">
        <v>31</v>
      </c>
      <c r="C8" s="967"/>
      <c r="D8" s="967"/>
      <c r="E8" s="967"/>
      <c r="G8" s="997" t="s">
        <v>936</v>
      </c>
      <c r="H8" s="6"/>
      <c r="I8" s="6"/>
      <c r="J8" s="6"/>
      <c r="K8" s="6"/>
      <c r="L8" s="6"/>
      <c r="M8" s="6"/>
      <c r="Z8" s="1028" t="s">
        <v>611</v>
      </c>
      <c r="AA8" s="1029"/>
      <c r="AB8" s="357">
        <v>0.26819999999999999</v>
      </c>
    </row>
    <row r="9" spans="1:28" ht="24" customHeight="1" x14ac:dyDescent="0.25">
      <c r="A9" s="98" t="s">
        <v>0</v>
      </c>
      <c r="B9" s="967" t="s">
        <v>1073</v>
      </c>
      <c r="C9" s="967"/>
      <c r="D9" s="967"/>
      <c r="E9" s="967"/>
      <c r="G9" s="997"/>
      <c r="H9" s="6"/>
      <c r="I9" s="6"/>
      <c r="J9" s="6"/>
      <c r="K9" s="6"/>
      <c r="L9" s="6"/>
      <c r="M9" s="6"/>
      <c r="Z9" s="1028" t="s">
        <v>612</v>
      </c>
      <c r="AA9" s="1029"/>
      <c r="AB9" s="357">
        <v>3.1300000000000001E-2</v>
      </c>
    </row>
    <row r="10" spans="1:28" ht="54" customHeight="1" x14ac:dyDescent="0.25">
      <c r="A10" s="98" t="s">
        <v>2</v>
      </c>
      <c r="B10" s="1034" t="s">
        <v>1074</v>
      </c>
      <c r="C10" s="1035"/>
      <c r="D10" s="1035"/>
      <c r="E10" s="1035"/>
      <c r="G10" s="997"/>
      <c r="H10" s="6"/>
      <c r="I10" s="6"/>
      <c r="J10" s="70" t="s">
        <v>136</v>
      </c>
      <c r="K10" s="70" t="s">
        <v>167</v>
      </c>
      <c r="L10" s="70" t="s">
        <v>120</v>
      </c>
      <c r="M10" s="71" t="s">
        <v>168</v>
      </c>
      <c r="N10" s="71" t="s">
        <v>169</v>
      </c>
      <c r="O10" s="59" t="s">
        <v>170</v>
      </c>
      <c r="P10" s="59" t="s">
        <v>171</v>
      </c>
      <c r="Z10" s="1028"/>
      <c r="AA10" s="1029"/>
      <c r="AB10" s="357"/>
    </row>
    <row r="11" spans="1:28" ht="54" customHeight="1" x14ac:dyDescent="0.25">
      <c r="A11" s="98" t="s">
        <v>29</v>
      </c>
      <c r="B11" s="1035"/>
      <c r="C11" s="1035"/>
      <c r="D11" s="1035"/>
      <c r="E11" s="1035"/>
      <c r="G11" s="254">
        <f>J11*K11</f>
        <v>2640</v>
      </c>
      <c r="H11" s="131" t="s">
        <v>547</v>
      </c>
      <c r="I11" s="6"/>
      <c r="J11" s="59">
        <v>400</v>
      </c>
      <c r="K11" s="59">
        <v>6.6</v>
      </c>
      <c r="L11" s="59">
        <v>0.25</v>
      </c>
      <c r="M11" s="60">
        <v>900</v>
      </c>
      <c r="N11" s="60">
        <f>AB13</f>
        <v>0.50363636363636366</v>
      </c>
      <c r="O11" s="59">
        <v>3000</v>
      </c>
      <c r="P11" s="59">
        <f>2.285*1.06</f>
        <v>2.4221000000000004</v>
      </c>
      <c r="Z11" s="1028" t="s">
        <v>613</v>
      </c>
      <c r="AA11" s="1029"/>
      <c r="AB11" s="357">
        <v>0.26819999999999999</v>
      </c>
    </row>
    <row r="12" spans="1:28" ht="30" customHeight="1" x14ac:dyDescent="0.25">
      <c r="A12" s="98" t="s">
        <v>14</v>
      </c>
      <c r="B12" s="1010" t="s">
        <v>607</v>
      </c>
      <c r="C12" s="1010"/>
      <c r="D12" s="1010"/>
      <c r="E12" s="1010"/>
      <c r="G12" s="6"/>
      <c r="H12" s="6"/>
      <c r="I12" s="6"/>
      <c r="J12" s="6"/>
      <c r="K12" s="6" t="s">
        <v>407</v>
      </c>
      <c r="L12" s="94" t="s">
        <v>942</v>
      </c>
      <c r="Z12" s="1028" t="s">
        <v>614</v>
      </c>
      <c r="AA12" s="1029"/>
      <c r="AB12" s="357">
        <v>1.18E-2</v>
      </c>
    </row>
    <row r="13" spans="1:28" ht="30" customHeight="1" x14ac:dyDescent="0.25">
      <c r="A13" s="98" t="s">
        <v>3</v>
      </c>
      <c r="B13" s="1010"/>
      <c r="C13" s="1010"/>
      <c r="D13" s="1010"/>
      <c r="E13" s="1010"/>
      <c r="G13" s="268" t="s">
        <v>284</v>
      </c>
      <c r="H13" s="9"/>
      <c r="I13" s="9"/>
      <c r="J13" s="6"/>
      <c r="K13" s="6"/>
      <c r="L13" s="6"/>
      <c r="M13" s="6"/>
      <c r="N13" s="6"/>
      <c r="Z13" s="1028" t="s">
        <v>615</v>
      </c>
      <c r="AA13" s="1029"/>
      <c r="AB13" s="358">
        <f>AB15/0.55</f>
        <v>0.50363636363636366</v>
      </c>
    </row>
    <row r="14" spans="1:28" ht="30" customHeight="1" x14ac:dyDescent="0.25">
      <c r="A14" s="98" t="s">
        <v>15</v>
      </c>
      <c r="B14" s="1010"/>
      <c r="C14" s="1010"/>
      <c r="D14" s="1010"/>
      <c r="E14" s="1010"/>
      <c r="G14" s="267" t="s">
        <v>285</v>
      </c>
      <c r="H14" s="267"/>
      <c r="I14" s="267">
        <v>3</v>
      </c>
      <c r="J14" s="6"/>
      <c r="K14" s="6"/>
      <c r="Z14" s="1028" t="s">
        <v>616</v>
      </c>
      <c r="AA14" s="1029"/>
      <c r="AB14" s="357">
        <v>0.26819999999999999</v>
      </c>
    </row>
    <row r="15" spans="1:28" ht="30" customHeight="1" x14ac:dyDescent="0.25">
      <c r="A15" s="98" t="s">
        <v>4</v>
      </c>
      <c r="B15" s="1010">
        <v>2018</v>
      </c>
      <c r="C15" s="1010"/>
      <c r="D15" s="1010"/>
      <c r="E15" s="1010"/>
      <c r="F15" s="6"/>
      <c r="G15" s="989" t="s">
        <v>286</v>
      </c>
      <c r="H15" s="991"/>
      <c r="I15" s="269">
        <f>I14*P11*1000</f>
        <v>7266.3000000000011</v>
      </c>
      <c r="J15" s="6"/>
      <c r="K15" s="6"/>
      <c r="Z15" s="1028" t="s">
        <v>578</v>
      </c>
      <c r="AA15" s="1029"/>
      <c r="AB15" s="357">
        <v>0.27700000000000002</v>
      </c>
    </row>
    <row r="16" spans="1:28" ht="30" customHeight="1" x14ac:dyDescent="0.25">
      <c r="A16" s="98" t="s">
        <v>5</v>
      </c>
      <c r="B16" s="1010">
        <v>2030</v>
      </c>
      <c r="C16" s="1010"/>
      <c r="D16" s="1010"/>
      <c r="E16" s="1010"/>
      <c r="F16" s="6"/>
      <c r="G16" s="989" t="s">
        <v>287</v>
      </c>
      <c r="H16" s="991"/>
      <c r="I16" s="269">
        <f>K11*L11*M11*8</f>
        <v>11880</v>
      </c>
      <c r="J16" s="6"/>
      <c r="K16" s="6"/>
      <c r="Z16" s="1028" t="s">
        <v>579</v>
      </c>
      <c r="AA16" s="1029"/>
      <c r="AB16" s="357">
        <v>0.20269999999999999</v>
      </c>
    </row>
    <row r="17" spans="1:14" ht="30" customHeight="1" x14ac:dyDescent="0.25">
      <c r="A17" s="98" t="s">
        <v>6</v>
      </c>
      <c r="B17" s="1000">
        <f>J11*O11*P11+I17*J11</f>
        <v>3093720.0000000005</v>
      </c>
      <c r="C17" s="1000"/>
      <c r="D17" s="1000"/>
      <c r="E17" s="1000"/>
      <c r="F17" s="6"/>
      <c r="G17" s="267" t="s">
        <v>288</v>
      </c>
      <c r="H17" s="267"/>
      <c r="I17" s="269">
        <v>468</v>
      </c>
      <c r="J17" s="6"/>
      <c r="K17" s="6"/>
    </row>
    <row r="18" spans="1:14" ht="30" customHeight="1" x14ac:dyDescent="0.25">
      <c r="A18" s="98" t="s">
        <v>7</v>
      </c>
      <c r="B18" s="1000">
        <f>J11*I18</f>
        <v>-1658279.9999999995</v>
      </c>
      <c r="C18" s="1000"/>
      <c r="D18" s="1000"/>
      <c r="E18" s="1000"/>
      <c r="F18" s="6"/>
      <c r="G18" s="1128" t="s">
        <v>289</v>
      </c>
      <c r="H18" s="1129"/>
      <c r="I18" s="269">
        <f>I15-I16+I17</f>
        <v>-4145.6999999999989</v>
      </c>
      <c r="J18" s="6"/>
      <c r="K18" s="6"/>
    </row>
    <row r="19" spans="1:14" ht="30" customHeight="1" x14ac:dyDescent="0.25">
      <c r="A19" s="99" t="s">
        <v>307</v>
      </c>
      <c r="B19" s="1130"/>
      <c r="C19" s="1130"/>
      <c r="D19" s="1130"/>
      <c r="E19" s="1130"/>
      <c r="F19" s="6"/>
      <c r="G19" s="1127" t="s">
        <v>546</v>
      </c>
      <c r="H19" s="1127"/>
      <c r="I19" s="270">
        <v>0</v>
      </c>
      <c r="J19" s="6"/>
      <c r="K19" s="6"/>
    </row>
    <row r="20" spans="1:14" s="6" customFormat="1" ht="30" customHeight="1" x14ac:dyDescent="0.25">
      <c r="A20" s="96" t="s">
        <v>306</v>
      </c>
      <c r="B20" s="1126">
        <f>J11*M11*K11</f>
        <v>2376000</v>
      </c>
      <c r="C20" s="1126"/>
      <c r="D20" s="1126"/>
      <c r="E20" s="1126"/>
    </row>
    <row r="21" spans="1:14" ht="30" customHeight="1" x14ac:dyDescent="0.25">
      <c r="A21" s="98" t="s">
        <v>8</v>
      </c>
      <c r="B21" s="1131">
        <f>B20*L11</f>
        <v>594000</v>
      </c>
      <c r="C21" s="1131"/>
      <c r="D21" s="1131"/>
      <c r="E21" s="1131"/>
      <c r="F21" s="6"/>
      <c r="G21" s="6"/>
      <c r="H21" s="6"/>
      <c r="I21" s="6"/>
      <c r="J21" s="6"/>
      <c r="K21" s="6"/>
      <c r="L21" s="6"/>
      <c r="M21" s="6"/>
      <c r="N21" s="6"/>
    </row>
    <row r="22" spans="1:14" ht="30" customHeight="1" x14ac:dyDescent="0.25">
      <c r="A22" s="98" t="s">
        <v>9</v>
      </c>
      <c r="B22" s="1000">
        <f>B20*65/1000*I19</f>
        <v>0</v>
      </c>
      <c r="C22" s="1000"/>
      <c r="D22" s="1000"/>
      <c r="E22" s="1000"/>
      <c r="F22" s="6"/>
      <c r="G22" s="6"/>
      <c r="H22" s="6"/>
      <c r="I22" s="6"/>
      <c r="J22" s="6"/>
    </row>
    <row r="23" spans="1:14" ht="30" customHeight="1" x14ac:dyDescent="0.25">
      <c r="A23" s="98" t="s">
        <v>301</v>
      </c>
      <c r="B23" s="1016">
        <f>B17/(B21+B22)</f>
        <v>5.2082828282828286</v>
      </c>
      <c r="C23" s="1016"/>
      <c r="D23" s="1016"/>
      <c r="E23" s="1016"/>
      <c r="F23" s="6"/>
      <c r="G23" s="6"/>
      <c r="H23" s="6"/>
      <c r="I23" s="6"/>
      <c r="J23" s="6"/>
    </row>
    <row r="24" spans="1:14" ht="30" customHeight="1" x14ac:dyDescent="0.25">
      <c r="A24" s="98" t="s">
        <v>302</v>
      </c>
      <c r="B24" s="1017">
        <f>(B17-B18)/(B21+B22)</f>
        <v>8</v>
      </c>
      <c r="C24" s="1017"/>
      <c r="D24" s="1017"/>
      <c r="E24" s="1017"/>
      <c r="F24" s="6"/>
      <c r="G24" s="6"/>
      <c r="H24" s="6"/>
      <c r="I24" s="6"/>
      <c r="J24" s="6"/>
    </row>
    <row r="25" spans="1:14" ht="30" customHeight="1" x14ac:dyDescent="0.25">
      <c r="A25" s="100" t="s">
        <v>305</v>
      </c>
      <c r="B25" s="1070">
        <f>B20*N11/1000</f>
        <v>1196.6400000000001</v>
      </c>
      <c r="C25" s="1070"/>
      <c r="D25" s="1070"/>
      <c r="E25" s="1070"/>
      <c r="F25" s="6"/>
      <c r="G25" s="6"/>
      <c r="H25" s="6"/>
      <c r="I25" s="6"/>
      <c r="J25" s="6"/>
    </row>
    <row r="26" spans="1:14" ht="30" customHeight="1" x14ac:dyDescent="0.25">
      <c r="A26" s="101" t="s">
        <v>303</v>
      </c>
      <c r="B26" s="1058">
        <f>B25/'Objectifs CO2'!C8</f>
        <v>0.11038239433532869</v>
      </c>
      <c r="C26" s="1058"/>
      <c r="D26" s="1058"/>
      <c r="E26" s="1058"/>
      <c r="F26" s="6"/>
      <c r="G26" s="6"/>
      <c r="H26" s="6"/>
      <c r="I26" s="6"/>
      <c r="J26" s="6"/>
    </row>
    <row r="27" spans="1:14" ht="30" customHeight="1" x14ac:dyDescent="0.25">
      <c r="A27" s="101" t="s">
        <v>304</v>
      </c>
      <c r="B27" s="1056">
        <f>B25/'Objectifs CO2'!C4</f>
        <v>5.5191197167664345E-2</v>
      </c>
      <c r="C27" s="1057"/>
      <c r="D27" s="1057"/>
      <c r="E27" s="1057"/>
      <c r="F27" s="6"/>
      <c r="G27" s="6"/>
      <c r="H27" s="6"/>
      <c r="I27" s="6"/>
      <c r="J27" s="6"/>
    </row>
    <row r="28" spans="1:14" ht="30" customHeight="1" x14ac:dyDescent="0.25">
      <c r="A28" s="101" t="s">
        <v>22</v>
      </c>
      <c r="B28" s="999" t="s">
        <v>10</v>
      </c>
      <c r="C28" s="999"/>
      <c r="D28" s="999"/>
      <c r="E28" s="999"/>
      <c r="F28" s="6"/>
      <c r="G28" s="6"/>
      <c r="H28" s="6"/>
      <c r="I28" s="6"/>
      <c r="J28" s="6"/>
    </row>
    <row r="29" spans="1:14" ht="30" customHeight="1" x14ac:dyDescent="0.25">
      <c r="A29" s="101" t="s">
        <v>257</v>
      </c>
      <c r="B29" s="999" t="s">
        <v>273</v>
      </c>
      <c r="C29" s="999"/>
      <c r="D29" s="999"/>
      <c r="E29" s="999"/>
      <c r="F29" s="6" t="s">
        <v>272</v>
      </c>
      <c r="G29" s="6"/>
      <c r="H29" s="6"/>
      <c r="I29" s="6"/>
      <c r="J29" s="6"/>
    </row>
    <row r="31" spans="1:14" x14ac:dyDescent="0.25">
      <c r="A31" s="603" t="s">
        <v>1065</v>
      </c>
      <c r="B31" s="1003" t="s">
        <v>675</v>
      </c>
      <c r="C31" s="1003"/>
      <c r="D31" s="1003"/>
      <c r="E31" s="56" t="s">
        <v>676</v>
      </c>
      <c r="F31" s="6"/>
      <c r="G31" s="6"/>
      <c r="H31" s="6"/>
      <c r="I31" s="6"/>
    </row>
    <row r="32" spans="1:14"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9">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44:D44"/>
    <mergeCell ref="B37:D37"/>
    <mergeCell ref="B38:D38"/>
    <mergeCell ref="B39:D39"/>
    <mergeCell ref="B40:D40"/>
    <mergeCell ref="B41:D41"/>
    <mergeCell ref="B42:D42"/>
    <mergeCell ref="G59:L59"/>
    <mergeCell ref="B60:F60"/>
    <mergeCell ref="G60:L60"/>
    <mergeCell ref="G46:L46"/>
    <mergeCell ref="A47:A51"/>
    <mergeCell ref="B47:F47"/>
    <mergeCell ref="G47:L47"/>
    <mergeCell ref="B48:F48"/>
    <mergeCell ref="G48:L48"/>
    <mergeCell ref="B49:F49"/>
    <mergeCell ref="G49:L49"/>
    <mergeCell ref="B50:F50"/>
    <mergeCell ref="G50:L50"/>
    <mergeCell ref="B51:F51"/>
    <mergeCell ref="G51:L51"/>
    <mergeCell ref="Z5:AB5"/>
    <mergeCell ref="Z6:AA6"/>
    <mergeCell ref="Z8:AA8"/>
    <mergeCell ref="Z9:AA9"/>
    <mergeCell ref="Z10:AA10"/>
    <mergeCell ref="B4:E4"/>
    <mergeCell ref="B5:E5"/>
    <mergeCell ref="B6:E6"/>
    <mergeCell ref="B7:E7"/>
    <mergeCell ref="G4:H4"/>
    <mergeCell ref="G5:H5"/>
    <mergeCell ref="G6:H6"/>
    <mergeCell ref="G7:H7"/>
    <mergeCell ref="B10:E10"/>
    <mergeCell ref="B8:E8"/>
    <mergeCell ref="B9:E9"/>
    <mergeCell ref="G8:G10"/>
    <mergeCell ref="Z16:AA16"/>
    <mergeCell ref="Z11:AA11"/>
    <mergeCell ref="Z12:AA12"/>
    <mergeCell ref="Z13:AA13"/>
    <mergeCell ref="Z14:AA14"/>
    <mergeCell ref="Z15:AA15"/>
    <mergeCell ref="B31:D31"/>
    <mergeCell ref="B32:D32"/>
    <mergeCell ref="G32:I32"/>
    <mergeCell ref="B11:E11"/>
    <mergeCell ref="B12:E12"/>
    <mergeCell ref="B13:E13"/>
    <mergeCell ref="B14:E14"/>
    <mergeCell ref="B15:E15"/>
    <mergeCell ref="B29:E29"/>
    <mergeCell ref="G15:H15"/>
    <mergeCell ref="G16:H16"/>
    <mergeCell ref="G18:H18"/>
    <mergeCell ref="B26:E26"/>
    <mergeCell ref="B27:E27"/>
    <mergeCell ref="B28:E28"/>
    <mergeCell ref="B19:E19"/>
    <mergeCell ref="B21:E21"/>
    <mergeCell ref="B22:E22"/>
    <mergeCell ref="A1:E1"/>
    <mergeCell ref="B2:E2"/>
    <mergeCell ref="G2:H2"/>
    <mergeCell ref="B3:E3"/>
    <mergeCell ref="G3:H3"/>
    <mergeCell ref="B33:D33"/>
    <mergeCell ref="H33:I33"/>
    <mergeCell ref="G40:I40"/>
    <mergeCell ref="B34:D34"/>
    <mergeCell ref="H34:I34"/>
    <mergeCell ref="B35:D35"/>
    <mergeCell ref="H35:I35"/>
    <mergeCell ref="B36:D36"/>
    <mergeCell ref="B24:E24"/>
    <mergeCell ref="B25:E25"/>
    <mergeCell ref="B23:E23"/>
    <mergeCell ref="B20:E20"/>
    <mergeCell ref="B16:E16"/>
    <mergeCell ref="B17:E17"/>
    <mergeCell ref="G19:H19"/>
    <mergeCell ref="B18:E18"/>
  </mergeCells>
  <conditionalFormatting sqref="B5">
    <cfRule type="containsText" dxfId="125" priority="1" operator="containsText" text="Terminé">
      <formula>NOT(ISERROR(SEARCH("Terminé",B5)))</formula>
    </cfRule>
    <cfRule type="containsText" dxfId="124" priority="2" operator="containsText" text="En cours">
      <formula>NOT(ISERROR(SEARCH("En cours",B5)))</formula>
    </cfRule>
    <cfRule type="containsText" dxfId="123" priority="3" operator="containsText" text="A faire">
      <formula>NOT(ISERROR(SEARCH("A faire",B5)))</formula>
    </cfRule>
  </conditionalFormatting>
  <hyperlinks>
    <hyperlink ref="L12" r:id="rId1" display="http://www.ef4.be/documents/eloral_images/qualiwatt-les-derniers-developpements-reglementaires-et-les-details-pratiques-de-la-mise-en-oeuvre-du-systeme-de-soutien.pdf"/>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27" orientation="portrait"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15" zoomScale="115" zoomScaleNormal="115" workbookViewId="0">
      <selection activeCell="G3" sqref="G3:H3"/>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802</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37</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412</v>
      </c>
      <c r="C6" s="993"/>
      <c r="D6" s="993"/>
      <c r="E6" s="993"/>
      <c r="F6" s="7"/>
      <c r="G6" s="986" t="s">
        <v>755</v>
      </c>
      <c r="H6" s="986"/>
      <c r="I6" s="6"/>
      <c r="J6" s="6"/>
      <c r="Z6" s="1026"/>
      <c r="AA6" s="1027"/>
      <c r="AB6" s="357" t="s">
        <v>610</v>
      </c>
    </row>
    <row r="7" spans="1:28" s="6" customFormat="1" ht="19.5" customHeight="1" x14ac:dyDescent="0.25">
      <c r="A7" s="253" t="s">
        <v>475</v>
      </c>
      <c r="B7" s="994" t="s">
        <v>426</v>
      </c>
      <c r="C7" s="994"/>
      <c r="D7" s="994"/>
      <c r="E7" s="994"/>
      <c r="F7" s="7"/>
      <c r="G7" s="995" t="s">
        <v>756</v>
      </c>
      <c r="H7" s="995"/>
      <c r="I7" s="400"/>
      <c r="J7" s="400"/>
      <c r="Z7" s="401"/>
      <c r="AA7" s="402"/>
      <c r="AB7" s="357"/>
    </row>
    <row r="8" spans="1:28" ht="24" customHeight="1" x14ac:dyDescent="0.25">
      <c r="A8" s="98" t="s">
        <v>1</v>
      </c>
      <c r="B8" s="967" t="s">
        <v>83</v>
      </c>
      <c r="C8" s="967"/>
      <c r="D8" s="967"/>
      <c r="E8" s="967"/>
      <c r="G8" s="997" t="s">
        <v>936</v>
      </c>
      <c r="H8" s="6"/>
      <c r="I8" s="6"/>
      <c r="J8" s="6"/>
      <c r="K8" s="6"/>
      <c r="L8" s="6"/>
      <c r="M8" s="6"/>
      <c r="N8" s="6"/>
      <c r="O8" s="6"/>
      <c r="P8" s="6"/>
      <c r="Q8" s="6"/>
      <c r="R8" s="6"/>
      <c r="S8" s="6"/>
      <c r="T8" s="6"/>
      <c r="Z8" s="1028" t="s">
        <v>611</v>
      </c>
      <c r="AA8" s="1029"/>
      <c r="AB8" s="357">
        <v>0.26819999999999999</v>
      </c>
    </row>
    <row r="9" spans="1:28" ht="24" customHeight="1" x14ac:dyDescent="0.25">
      <c r="A9" s="98" t="s">
        <v>0</v>
      </c>
      <c r="B9" s="967" t="s">
        <v>1073</v>
      </c>
      <c r="C9" s="967"/>
      <c r="D9" s="967"/>
      <c r="E9" s="967"/>
      <c r="G9" s="997"/>
      <c r="H9" s="6"/>
      <c r="I9" s="6"/>
      <c r="J9" s="6"/>
      <c r="K9" s="6"/>
      <c r="L9" s="6"/>
      <c r="M9" s="6"/>
      <c r="N9" s="6"/>
      <c r="O9" s="6"/>
      <c r="P9" s="6"/>
      <c r="Q9" s="6"/>
      <c r="R9" s="6"/>
      <c r="S9" s="6"/>
      <c r="T9" s="6"/>
      <c r="Z9" s="1028" t="s">
        <v>612</v>
      </c>
      <c r="AA9" s="1029"/>
      <c r="AB9" s="357">
        <v>3.1300000000000001E-2</v>
      </c>
    </row>
    <row r="10" spans="1:28" ht="36.75" customHeight="1" x14ac:dyDescent="0.25">
      <c r="A10" s="98" t="s">
        <v>2</v>
      </c>
      <c r="B10" s="1008" t="s">
        <v>1071</v>
      </c>
      <c r="C10" s="1009"/>
      <c r="D10" s="1009"/>
      <c r="E10" s="1009"/>
      <c r="G10" s="997"/>
      <c r="H10" s="6"/>
      <c r="I10" s="6"/>
      <c r="J10" s="70" t="s">
        <v>136</v>
      </c>
      <c r="K10" s="70" t="s">
        <v>167</v>
      </c>
      <c r="L10" s="70" t="s">
        <v>120</v>
      </c>
      <c r="M10" s="71" t="s">
        <v>168</v>
      </c>
      <c r="N10" s="71" t="s">
        <v>169</v>
      </c>
      <c r="O10" s="59" t="s">
        <v>170</v>
      </c>
      <c r="P10" s="59" t="s">
        <v>171</v>
      </c>
      <c r="Z10" s="1028"/>
      <c r="AA10" s="1029"/>
      <c r="AB10" s="357"/>
    </row>
    <row r="11" spans="1:28" ht="68.25" customHeight="1" x14ac:dyDescent="0.25">
      <c r="A11" s="98" t="s">
        <v>29</v>
      </c>
      <c r="B11" s="1031" t="s">
        <v>1072</v>
      </c>
      <c r="C11" s="1032"/>
      <c r="D11" s="1032"/>
      <c r="E11" s="1033"/>
      <c r="G11" s="254">
        <f>J11*K11</f>
        <v>48</v>
      </c>
      <c r="H11" s="131" t="s">
        <v>547</v>
      </c>
      <c r="I11" s="6"/>
      <c r="J11" s="59">
        <v>6</v>
      </c>
      <c r="K11" s="59">
        <v>8</v>
      </c>
      <c r="L11" s="59">
        <v>0.25</v>
      </c>
      <c r="M11" s="60">
        <v>900</v>
      </c>
      <c r="N11" s="359">
        <f>AB13</f>
        <v>0.50363636363636366</v>
      </c>
      <c r="O11" s="59">
        <v>3000</v>
      </c>
      <c r="P11" s="59">
        <f>2.285*1.06</f>
        <v>2.4221000000000004</v>
      </c>
      <c r="Z11" s="1028" t="s">
        <v>613</v>
      </c>
      <c r="AA11" s="1029"/>
      <c r="AB11" s="357">
        <v>0.26819999999999999</v>
      </c>
    </row>
    <row r="12" spans="1:28" ht="30" customHeight="1" x14ac:dyDescent="0.25">
      <c r="A12" s="98" t="s">
        <v>14</v>
      </c>
      <c r="B12" s="1010" t="s">
        <v>939</v>
      </c>
      <c r="C12" s="1010"/>
      <c r="D12" s="1010"/>
      <c r="E12" s="1010"/>
      <c r="G12" s="6"/>
      <c r="H12" s="6"/>
      <c r="I12" s="6"/>
      <c r="J12" s="6"/>
      <c r="K12" s="6" t="s">
        <v>407</v>
      </c>
      <c r="L12" s="94" t="s">
        <v>942</v>
      </c>
      <c r="M12" s="6"/>
      <c r="N12" s="6"/>
      <c r="O12" s="6"/>
      <c r="P12" s="6"/>
      <c r="Z12" s="1028" t="s">
        <v>614</v>
      </c>
      <c r="AA12" s="1029"/>
      <c r="AB12" s="357">
        <v>1.18E-2</v>
      </c>
    </row>
    <row r="13" spans="1:28" ht="30" customHeight="1" x14ac:dyDescent="0.25">
      <c r="A13" s="98" t="s">
        <v>3</v>
      </c>
      <c r="B13" s="1010" t="s">
        <v>943</v>
      </c>
      <c r="C13" s="1010"/>
      <c r="D13" s="1010"/>
      <c r="E13" s="1010"/>
      <c r="G13" s="268" t="s">
        <v>284</v>
      </c>
      <c r="H13" s="9"/>
      <c r="I13" s="9"/>
      <c r="J13" s="6"/>
      <c r="K13" s="6"/>
      <c r="L13" s="6"/>
      <c r="M13" s="6"/>
      <c r="N13" s="6"/>
      <c r="O13" s="6"/>
      <c r="P13" s="6"/>
      <c r="Q13" s="6"/>
      <c r="R13" s="6"/>
      <c r="S13" s="6"/>
      <c r="T13" s="6"/>
      <c r="Z13" s="1028" t="s">
        <v>615</v>
      </c>
      <c r="AA13" s="1029"/>
      <c r="AB13" s="358">
        <f>AB15/0.55</f>
        <v>0.50363636363636366</v>
      </c>
    </row>
    <row r="14" spans="1:28" ht="30" customHeight="1" x14ac:dyDescent="0.25">
      <c r="A14" s="98" t="s">
        <v>15</v>
      </c>
      <c r="B14" s="1010"/>
      <c r="C14" s="1010"/>
      <c r="D14" s="1010"/>
      <c r="E14" s="1010"/>
      <c r="G14" s="267" t="s">
        <v>285</v>
      </c>
      <c r="H14" s="267"/>
      <c r="I14" s="267">
        <v>3</v>
      </c>
      <c r="J14" s="6"/>
      <c r="K14" s="750" t="s">
        <v>1265</v>
      </c>
      <c r="L14" s="6"/>
      <c r="M14" s="6"/>
      <c r="N14" s="6"/>
      <c r="O14" s="6"/>
      <c r="P14" s="6"/>
      <c r="Q14" s="6"/>
      <c r="R14" s="6"/>
      <c r="S14" s="6"/>
      <c r="T14" s="6"/>
      <c r="Z14" s="1028" t="s">
        <v>616</v>
      </c>
      <c r="AA14" s="1029"/>
      <c r="AB14" s="357">
        <v>0.26819999999999999</v>
      </c>
    </row>
    <row r="15" spans="1:28" ht="30" customHeight="1" x14ac:dyDescent="0.25">
      <c r="A15" s="98" t="s">
        <v>4</v>
      </c>
      <c r="B15" s="1010">
        <v>2019</v>
      </c>
      <c r="C15" s="1010"/>
      <c r="D15" s="1010"/>
      <c r="E15" s="1010"/>
      <c r="F15" s="6"/>
      <c r="G15" s="989" t="s">
        <v>286</v>
      </c>
      <c r="H15" s="991"/>
      <c r="I15" s="269">
        <f>I14*P11*1000</f>
        <v>7266.3000000000011</v>
      </c>
      <c r="J15" s="6"/>
      <c r="K15" s="749" t="s">
        <v>1266</v>
      </c>
      <c r="L15" s="6"/>
      <c r="M15" s="6"/>
      <c r="N15" s="6"/>
      <c r="O15" s="6">
        <v>5.4</v>
      </c>
      <c r="P15" s="6"/>
      <c r="Q15" s="6"/>
      <c r="R15" s="6"/>
      <c r="S15" s="6"/>
      <c r="T15" s="6"/>
      <c r="Z15" s="1028" t="s">
        <v>578</v>
      </c>
      <c r="AA15" s="1029"/>
      <c r="AB15" s="357">
        <v>0.27700000000000002</v>
      </c>
    </row>
    <row r="16" spans="1:28" ht="30" customHeight="1" x14ac:dyDescent="0.25">
      <c r="A16" s="98" t="s">
        <v>5</v>
      </c>
      <c r="B16" s="1010">
        <v>2030</v>
      </c>
      <c r="C16" s="1010"/>
      <c r="D16" s="1010"/>
      <c r="E16" s="1010"/>
      <c r="F16" s="6"/>
      <c r="G16" s="989" t="s">
        <v>287</v>
      </c>
      <c r="H16" s="991"/>
      <c r="I16" s="269">
        <f>K11*L11*M11*8</f>
        <v>14400</v>
      </c>
      <c r="J16" s="6"/>
      <c r="K16" s="749" t="s">
        <v>1267</v>
      </c>
      <c r="L16" s="6"/>
      <c r="M16" s="6"/>
      <c r="N16" s="6"/>
      <c r="O16" s="6">
        <v>8.5</v>
      </c>
      <c r="P16" s="6"/>
      <c r="Q16" s="6"/>
      <c r="R16" s="6"/>
      <c r="S16" s="6"/>
      <c r="T16" s="6"/>
      <c r="Z16" s="1028" t="s">
        <v>579</v>
      </c>
      <c r="AA16" s="1029"/>
      <c r="AB16" s="357">
        <v>0.20269999999999999</v>
      </c>
    </row>
    <row r="17" spans="1:20" ht="30" customHeight="1" x14ac:dyDescent="0.25">
      <c r="A17" s="98" t="s">
        <v>6</v>
      </c>
      <c r="B17" s="1000">
        <f>J11*O11*P11+I17*J11</f>
        <v>46405.8</v>
      </c>
      <c r="C17" s="1000"/>
      <c r="D17" s="1000"/>
      <c r="E17" s="1000"/>
      <c r="F17" s="6"/>
      <c r="G17" s="267" t="s">
        <v>288</v>
      </c>
      <c r="H17" s="267"/>
      <c r="I17" s="269">
        <v>468</v>
      </c>
      <c r="J17" s="6"/>
      <c r="K17" s="749" t="s">
        <v>1268</v>
      </c>
      <c r="L17" s="6"/>
      <c r="M17" s="6"/>
      <c r="N17" s="6"/>
      <c r="O17" s="6">
        <v>10</v>
      </c>
      <c r="P17" s="6"/>
      <c r="Q17" s="6"/>
      <c r="R17" s="6"/>
      <c r="S17" s="6"/>
      <c r="T17" s="6"/>
    </row>
    <row r="18" spans="1:20" ht="30" customHeight="1" x14ac:dyDescent="0.25">
      <c r="A18" s="98" t="s">
        <v>7</v>
      </c>
      <c r="B18" s="1000">
        <f>J11*I18</f>
        <v>-39994.199999999997</v>
      </c>
      <c r="C18" s="1000"/>
      <c r="D18" s="1000"/>
      <c r="E18" s="1000"/>
      <c r="F18" s="6"/>
      <c r="G18" s="1128" t="s">
        <v>289</v>
      </c>
      <c r="H18" s="1129"/>
      <c r="I18" s="269">
        <f>I15-I16+I17</f>
        <v>-6665.6999999999989</v>
      </c>
      <c r="J18" s="6"/>
      <c r="K18" s="749" t="s">
        <v>1269</v>
      </c>
      <c r="L18" s="6"/>
      <c r="M18" s="6"/>
      <c r="N18" s="6"/>
      <c r="O18" s="6">
        <v>1.3</v>
      </c>
      <c r="P18" s="6"/>
      <c r="Q18" s="6"/>
      <c r="R18" s="6"/>
      <c r="S18" s="6"/>
      <c r="T18" s="6"/>
    </row>
    <row r="19" spans="1:20" ht="30" customHeight="1" x14ac:dyDescent="0.25">
      <c r="A19" s="99" t="s">
        <v>307</v>
      </c>
      <c r="B19" s="1039"/>
      <c r="C19" s="1040"/>
      <c r="D19" s="1040"/>
      <c r="E19" s="1040"/>
      <c r="F19" s="6"/>
      <c r="G19" s="1127" t="s">
        <v>546</v>
      </c>
      <c r="H19" s="1127"/>
      <c r="I19" s="270">
        <v>0</v>
      </c>
      <c r="J19" s="6"/>
      <c r="L19" s="6"/>
      <c r="M19" s="6"/>
      <c r="N19" s="6"/>
      <c r="O19" s="6">
        <f>SUM(O15:O18)</f>
        <v>25.2</v>
      </c>
      <c r="P19" s="6"/>
      <c r="Q19" s="6"/>
      <c r="R19" s="6"/>
      <c r="S19" s="6"/>
      <c r="T19" s="6"/>
    </row>
    <row r="20" spans="1:20" s="6" customFormat="1" ht="30" customHeight="1" x14ac:dyDescent="0.25">
      <c r="A20" s="96" t="s">
        <v>306</v>
      </c>
      <c r="B20" s="1041">
        <f>J11*M11*K11</f>
        <v>43200</v>
      </c>
      <c r="C20" s="1042"/>
      <c r="D20" s="1042"/>
      <c r="E20" s="1042"/>
      <c r="G20" s="1132" t="s">
        <v>289</v>
      </c>
      <c r="H20" s="1133"/>
      <c r="I20" s="93">
        <f>I17-I18+I19</f>
        <v>7133.6999999999989</v>
      </c>
    </row>
    <row r="21" spans="1:20" ht="30" customHeight="1" x14ac:dyDescent="0.25">
      <c r="A21" s="98" t="s">
        <v>8</v>
      </c>
      <c r="B21" s="1000">
        <f>B20*L11</f>
        <v>10800</v>
      </c>
      <c r="C21" s="1000"/>
      <c r="D21" s="1000"/>
      <c r="E21" s="1000"/>
      <c r="F21" s="6"/>
      <c r="G21" s="6"/>
      <c r="H21" s="6"/>
      <c r="I21" s="6"/>
      <c r="J21" s="6"/>
    </row>
    <row r="22" spans="1:20" ht="30" customHeight="1" x14ac:dyDescent="0.25">
      <c r="A22" s="98" t="s">
        <v>9</v>
      </c>
      <c r="B22" s="1000">
        <f>B20*65/1000*I19</f>
        <v>0</v>
      </c>
      <c r="C22" s="1000"/>
      <c r="D22" s="1000"/>
      <c r="E22" s="1000"/>
      <c r="F22" s="6"/>
      <c r="G22" s="6"/>
      <c r="H22" s="6"/>
      <c r="I22" s="6"/>
      <c r="J22" s="6"/>
    </row>
    <row r="23" spans="1:20" ht="30" customHeight="1" x14ac:dyDescent="0.25">
      <c r="A23" s="98" t="s">
        <v>301</v>
      </c>
      <c r="B23" s="1016">
        <f>B17/(B21+B22)</f>
        <v>4.2968333333333337</v>
      </c>
      <c r="C23" s="1016"/>
      <c r="D23" s="1016"/>
      <c r="E23" s="1016"/>
      <c r="F23" s="6"/>
      <c r="G23" s="6"/>
      <c r="H23" s="6"/>
      <c r="I23" s="6"/>
      <c r="J23" s="6"/>
    </row>
    <row r="24" spans="1:20" ht="30" customHeight="1" x14ac:dyDescent="0.25">
      <c r="A24" s="98" t="s">
        <v>302</v>
      </c>
      <c r="B24" s="1017">
        <f>(B17-B18)/(B21+B22)</f>
        <v>8</v>
      </c>
      <c r="C24" s="1017"/>
      <c r="D24" s="1017"/>
      <c r="E24" s="1017"/>
      <c r="F24" s="6"/>
      <c r="G24" s="6"/>
      <c r="H24" s="6"/>
      <c r="I24" s="6"/>
      <c r="J24" s="6"/>
    </row>
    <row r="25" spans="1:20" ht="30" customHeight="1" x14ac:dyDescent="0.25">
      <c r="A25" s="100" t="s">
        <v>305</v>
      </c>
      <c r="B25" s="1070">
        <f>B20*N11/1000</f>
        <v>21.757090909090913</v>
      </c>
      <c r="C25" s="1070"/>
      <c r="D25" s="1070"/>
      <c r="E25" s="1070"/>
      <c r="F25" s="6"/>
      <c r="G25" s="6"/>
      <c r="H25" s="6"/>
      <c r="I25" s="6"/>
      <c r="J25" s="6"/>
    </row>
    <row r="26" spans="1:20" ht="30" customHeight="1" x14ac:dyDescent="0.25">
      <c r="A26" s="101" t="s">
        <v>303</v>
      </c>
      <c r="B26" s="1058">
        <f>B25/'Objectifs CO2'!C11</f>
        <v>1.0034763121393519E-2</v>
      </c>
      <c r="C26" s="1058"/>
      <c r="D26" s="1058"/>
      <c r="E26" s="1058"/>
      <c r="F26" s="6"/>
      <c r="G26" s="6"/>
      <c r="H26" s="6"/>
      <c r="I26" s="6"/>
      <c r="J26" s="6"/>
    </row>
    <row r="27" spans="1:20" ht="30" customHeight="1" x14ac:dyDescent="0.25">
      <c r="A27" s="101" t="s">
        <v>304</v>
      </c>
      <c r="B27" s="1056">
        <f>B25/'Objectifs CO2'!C4</f>
        <v>1.0034763121393518E-3</v>
      </c>
      <c r="C27" s="1057"/>
      <c r="D27" s="1057"/>
      <c r="E27" s="1057"/>
      <c r="F27" s="6"/>
      <c r="G27" s="6"/>
      <c r="H27" s="6"/>
      <c r="I27" s="6"/>
      <c r="J27" s="6"/>
    </row>
    <row r="28" spans="1:20" ht="30" customHeight="1" x14ac:dyDescent="0.25">
      <c r="A28" s="101" t="s">
        <v>22</v>
      </c>
      <c r="B28" s="999" t="s">
        <v>10</v>
      </c>
      <c r="C28" s="999"/>
      <c r="D28" s="999"/>
      <c r="E28" s="999"/>
      <c r="F28" s="6"/>
      <c r="G28" s="6"/>
      <c r="H28" s="6"/>
      <c r="I28" s="6"/>
      <c r="J28" s="6"/>
    </row>
    <row r="29" spans="1:20" ht="30" customHeight="1" x14ac:dyDescent="0.25">
      <c r="A29" s="101" t="s">
        <v>257</v>
      </c>
      <c r="B29" s="999" t="s">
        <v>274</v>
      </c>
      <c r="C29" s="999"/>
      <c r="D29" s="999"/>
      <c r="E29" s="999"/>
    </row>
    <row r="31" spans="1:20" x14ac:dyDescent="0.25">
      <c r="A31" s="603" t="s">
        <v>1065</v>
      </c>
      <c r="B31" s="1003" t="s">
        <v>675</v>
      </c>
      <c r="C31" s="1003"/>
      <c r="D31" s="1003"/>
      <c r="E31" s="56" t="s">
        <v>676</v>
      </c>
      <c r="F31" s="6"/>
      <c r="G31" s="6"/>
      <c r="H31" s="6"/>
      <c r="I31" s="6"/>
    </row>
    <row r="32" spans="1:20"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0">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G16:H16"/>
    <mergeCell ref="G19:H19"/>
    <mergeCell ref="G8:G10"/>
    <mergeCell ref="B20:E20"/>
    <mergeCell ref="B10:E10"/>
    <mergeCell ref="B8:E8"/>
    <mergeCell ref="B9:E9"/>
    <mergeCell ref="B16:E16"/>
    <mergeCell ref="B17:E17"/>
    <mergeCell ref="B18:E18"/>
    <mergeCell ref="B11:E11"/>
    <mergeCell ref="B12:E12"/>
    <mergeCell ref="B13:E13"/>
    <mergeCell ref="B14:E14"/>
    <mergeCell ref="B15:E15"/>
    <mergeCell ref="G15:H15"/>
    <mergeCell ref="G18:H18"/>
    <mergeCell ref="G20:H20"/>
    <mergeCell ref="B19:E19"/>
    <mergeCell ref="Z5:AB5"/>
    <mergeCell ref="Z6:AA6"/>
    <mergeCell ref="Z8:AA8"/>
    <mergeCell ref="Z9:AA9"/>
    <mergeCell ref="Z10:AA10"/>
    <mergeCell ref="Z16:AA16"/>
    <mergeCell ref="Z11:AA11"/>
    <mergeCell ref="Z12:AA12"/>
    <mergeCell ref="Z13:AA13"/>
    <mergeCell ref="Z14:AA14"/>
    <mergeCell ref="Z15:AA15"/>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B5:E5"/>
    <mergeCell ref="B6:E6"/>
    <mergeCell ref="B7:E7"/>
    <mergeCell ref="B31:D31"/>
    <mergeCell ref="B32:D32"/>
    <mergeCell ref="B29:E29"/>
    <mergeCell ref="B26:E26"/>
    <mergeCell ref="B27:E27"/>
    <mergeCell ref="B28:E28"/>
    <mergeCell ref="B21:E21"/>
    <mergeCell ref="B22:E22"/>
    <mergeCell ref="B24:E24"/>
    <mergeCell ref="B25:E25"/>
    <mergeCell ref="B23:E23"/>
    <mergeCell ref="G7:H7"/>
    <mergeCell ref="A1:E1"/>
    <mergeCell ref="B2:E2"/>
    <mergeCell ref="G2:H2"/>
    <mergeCell ref="B3:E3"/>
    <mergeCell ref="G3:H3"/>
    <mergeCell ref="B4:E4"/>
    <mergeCell ref="G6:H6"/>
    <mergeCell ref="G4:H4"/>
    <mergeCell ref="G5:H5"/>
  </mergeCells>
  <conditionalFormatting sqref="B5">
    <cfRule type="containsText" dxfId="122" priority="1" operator="containsText" text="Terminé">
      <formula>NOT(ISERROR(SEARCH("Terminé",B5)))</formula>
    </cfRule>
    <cfRule type="containsText" dxfId="121" priority="2" operator="containsText" text="En cours">
      <formula>NOT(ISERROR(SEARCH("En cours",B5)))</formula>
    </cfRule>
    <cfRule type="containsText" dxfId="120" priority="3" operator="containsText" text="A faire">
      <formula>NOT(ISERROR(SEARCH("A faire",B5)))</formula>
    </cfRule>
  </conditionalFormatting>
  <hyperlinks>
    <hyperlink ref="L12" r:id="rId1" display="http://www.ef4.be/documents/eloral_images/qualiwatt-les-derniers-developpements-reglementaires-et-les-details-pratiques-de-la-mise-en-oeuvre-du-systeme-de-soutien.pdf"/>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B22" zoomScale="145" zoomScaleNormal="145" workbookViewId="0">
      <selection activeCell="G3" sqref="G3:H3"/>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801</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54</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26</v>
      </c>
      <c r="C7" s="994"/>
      <c r="D7" s="994"/>
      <c r="E7" s="994"/>
      <c r="F7" s="7"/>
      <c r="G7" s="995" t="s">
        <v>756</v>
      </c>
      <c r="H7" s="995"/>
      <c r="I7" s="400"/>
      <c r="J7" s="400"/>
      <c r="Z7" s="401"/>
      <c r="AA7" s="402"/>
      <c r="AB7" s="357"/>
    </row>
    <row r="8" spans="1:28" ht="24" customHeight="1" x14ac:dyDescent="0.25">
      <c r="A8" s="98" t="s">
        <v>1</v>
      </c>
      <c r="B8" s="967" t="s">
        <v>1075</v>
      </c>
      <c r="C8" s="967"/>
      <c r="D8" s="967"/>
      <c r="E8" s="967"/>
      <c r="G8" s="997" t="s">
        <v>936</v>
      </c>
      <c r="H8" s="6"/>
      <c r="I8" s="6"/>
      <c r="J8" s="6"/>
      <c r="K8" s="6"/>
      <c r="L8" s="6"/>
      <c r="M8" s="6"/>
      <c r="Z8" s="1028" t="s">
        <v>611</v>
      </c>
      <c r="AA8" s="1029"/>
      <c r="AB8" s="357">
        <v>0.26819999999999999</v>
      </c>
    </row>
    <row r="9" spans="1:28" ht="24" customHeight="1" x14ac:dyDescent="0.25">
      <c r="A9" s="98" t="s">
        <v>0</v>
      </c>
      <c r="B9" s="967" t="s">
        <v>1076</v>
      </c>
      <c r="C9" s="967"/>
      <c r="D9" s="967"/>
      <c r="E9" s="967"/>
      <c r="G9" s="997"/>
      <c r="H9" s="6"/>
      <c r="I9" s="6"/>
      <c r="J9" s="70" t="s">
        <v>172</v>
      </c>
      <c r="K9" s="85" t="s">
        <v>170</v>
      </c>
      <c r="L9" s="70" t="s">
        <v>120</v>
      </c>
      <c r="M9" s="71" t="s">
        <v>168</v>
      </c>
      <c r="N9" s="71" t="s">
        <v>169</v>
      </c>
      <c r="O9" s="84" t="s">
        <v>171</v>
      </c>
      <c r="Z9" s="1028" t="s">
        <v>612</v>
      </c>
      <c r="AA9" s="1029"/>
      <c r="AB9" s="357">
        <v>3.1300000000000001E-2</v>
      </c>
    </row>
    <row r="10" spans="1:28" ht="35.25" customHeight="1" x14ac:dyDescent="0.25">
      <c r="A10" s="98" t="s">
        <v>2</v>
      </c>
      <c r="B10" s="1008" t="s">
        <v>838</v>
      </c>
      <c r="C10" s="1009"/>
      <c r="D10" s="1009"/>
      <c r="E10" s="1009"/>
      <c r="G10" s="997"/>
      <c r="H10" s="6"/>
      <c r="I10" s="6"/>
      <c r="J10" s="84">
        <v>200</v>
      </c>
      <c r="K10" s="85">
        <f>J10*1000</f>
        <v>200000</v>
      </c>
      <c r="L10" s="84">
        <v>0.15</v>
      </c>
      <c r="M10" s="85">
        <v>900</v>
      </c>
      <c r="N10" s="85">
        <f>AB13</f>
        <v>0.50363636363636366</v>
      </c>
      <c r="O10" s="84">
        <v>2.42</v>
      </c>
      <c r="Z10" s="1028"/>
      <c r="AA10" s="1029"/>
      <c r="AB10" s="357"/>
    </row>
    <row r="11" spans="1:28" ht="22.5" customHeight="1" x14ac:dyDescent="0.25">
      <c r="A11" s="98" t="s">
        <v>29</v>
      </c>
      <c r="B11" s="1035"/>
      <c r="C11" s="1035"/>
      <c r="D11" s="1035"/>
      <c r="E11" s="1035"/>
      <c r="G11" s="254">
        <f>J10</f>
        <v>200</v>
      </c>
      <c r="H11" s="131" t="s">
        <v>547</v>
      </c>
      <c r="I11" s="6"/>
      <c r="J11" s="6"/>
      <c r="K11" s="6"/>
      <c r="L11" s="6"/>
      <c r="M11" s="6"/>
      <c r="N11" s="6" t="s">
        <v>407</v>
      </c>
      <c r="O11" s="94" t="s">
        <v>942</v>
      </c>
      <c r="Z11" s="1028" t="s">
        <v>613</v>
      </c>
      <c r="AA11" s="1029"/>
      <c r="AB11" s="357">
        <v>0.26819999999999999</v>
      </c>
    </row>
    <row r="12" spans="1:28" ht="30" customHeight="1" x14ac:dyDescent="0.25">
      <c r="A12" s="98" t="s">
        <v>14</v>
      </c>
      <c r="B12" s="1010" t="s">
        <v>54</v>
      </c>
      <c r="C12" s="1010"/>
      <c r="D12" s="1010"/>
      <c r="E12" s="1010"/>
      <c r="J12" s="962" t="s">
        <v>290</v>
      </c>
      <c r="K12" s="962"/>
      <c r="L12" s="962"/>
      <c r="M12" s="962"/>
      <c r="N12" s="6"/>
      <c r="O12" s="6"/>
      <c r="Z12" s="1028" t="s">
        <v>614</v>
      </c>
      <c r="AA12" s="1029"/>
      <c r="AB12" s="357">
        <v>1.18E-2</v>
      </c>
    </row>
    <row r="13" spans="1:28" ht="30" customHeight="1" x14ac:dyDescent="0.25">
      <c r="A13" s="98" t="s">
        <v>3</v>
      </c>
      <c r="B13" s="1010"/>
      <c r="C13" s="1010"/>
      <c r="D13" s="1010"/>
      <c r="E13" s="1010"/>
      <c r="J13" s="6" t="s">
        <v>291</v>
      </c>
      <c r="K13" s="6"/>
      <c r="L13" s="6">
        <v>2.4</v>
      </c>
      <c r="M13" s="94" t="s">
        <v>410</v>
      </c>
      <c r="N13" s="6"/>
      <c r="O13" s="6"/>
      <c r="Z13" s="1028" t="s">
        <v>615</v>
      </c>
      <c r="AA13" s="1029"/>
      <c r="AB13" s="358">
        <f>AB15/0.55</f>
        <v>0.50363636363636366</v>
      </c>
    </row>
    <row r="14" spans="1:28" ht="30" customHeight="1" x14ac:dyDescent="0.25">
      <c r="A14" s="98" t="s">
        <v>15</v>
      </c>
      <c r="B14" s="1010"/>
      <c r="C14" s="1010"/>
      <c r="D14" s="1010"/>
      <c r="E14" s="1010"/>
      <c r="M14" s="6"/>
      <c r="Z14" s="1028" t="s">
        <v>616</v>
      </c>
      <c r="AA14" s="1029"/>
      <c r="AB14" s="357">
        <v>0.26819999999999999</v>
      </c>
    </row>
    <row r="15" spans="1:28" ht="30" customHeight="1" x14ac:dyDescent="0.25">
      <c r="A15" s="98" t="s">
        <v>4</v>
      </c>
      <c r="B15" s="1010">
        <v>2017</v>
      </c>
      <c r="C15" s="1010"/>
      <c r="D15" s="1010"/>
      <c r="E15" s="1010"/>
      <c r="F15" s="6"/>
      <c r="G15" s="6"/>
      <c r="H15" s="6"/>
      <c r="I15" s="6"/>
      <c r="J15" s="6"/>
      <c r="K15" s="6"/>
      <c r="L15" s="6"/>
      <c r="M15" s="6"/>
      <c r="N15" s="6"/>
      <c r="Z15" s="1028" t="s">
        <v>578</v>
      </c>
      <c r="AA15" s="1029"/>
      <c r="AB15" s="357">
        <v>0.27700000000000002</v>
      </c>
    </row>
    <row r="16" spans="1:28" ht="30" customHeight="1" x14ac:dyDescent="0.25">
      <c r="A16" s="98" t="s">
        <v>5</v>
      </c>
      <c r="B16" s="1010">
        <v>2030</v>
      </c>
      <c r="C16" s="1010"/>
      <c r="D16" s="1010"/>
      <c r="E16" s="1010"/>
      <c r="F16" s="6"/>
      <c r="G16" s="1134"/>
      <c r="H16" s="1134"/>
      <c r="I16" s="1134"/>
      <c r="J16" s="1134"/>
      <c r="K16" s="1134"/>
      <c r="L16" s="6"/>
      <c r="M16" s="6"/>
      <c r="Z16" s="1028" t="s">
        <v>579</v>
      </c>
      <c r="AA16" s="1029"/>
      <c r="AB16" s="357">
        <v>0.20269999999999999</v>
      </c>
    </row>
    <row r="17" spans="1:13" ht="30" customHeight="1" x14ac:dyDescent="0.25">
      <c r="A17" s="98" t="s">
        <v>6</v>
      </c>
      <c r="B17" s="1000">
        <f>K10*O10</f>
        <v>484000</v>
      </c>
      <c r="C17" s="1000"/>
      <c r="D17" s="1000"/>
      <c r="E17" s="1000"/>
      <c r="F17" s="6"/>
      <c r="G17" s="1134"/>
      <c r="H17" s="1134"/>
      <c r="I17" s="1134"/>
      <c r="J17" s="1134"/>
      <c r="K17" s="1134"/>
      <c r="L17" s="6"/>
      <c r="M17" s="6"/>
    </row>
    <row r="18" spans="1:13" ht="30" customHeight="1" x14ac:dyDescent="0.25">
      <c r="A18" s="98" t="s">
        <v>7</v>
      </c>
      <c r="B18" s="1000">
        <v>0</v>
      </c>
      <c r="C18" s="1000"/>
      <c r="D18" s="1000"/>
      <c r="E18" s="1000"/>
      <c r="F18" s="6"/>
      <c r="G18" s="6"/>
      <c r="H18" s="6"/>
      <c r="I18" s="6"/>
      <c r="J18" s="6"/>
      <c r="K18" s="6"/>
      <c r="L18" s="6"/>
      <c r="M18" s="6"/>
    </row>
    <row r="19" spans="1:13" ht="30" customHeight="1" x14ac:dyDescent="0.25">
      <c r="A19" s="99" t="s">
        <v>307</v>
      </c>
      <c r="B19" s="1039"/>
      <c r="C19" s="1040"/>
      <c r="D19" s="1040"/>
      <c r="E19" s="1040"/>
      <c r="F19" s="6"/>
      <c r="G19" s="6"/>
      <c r="H19" s="6"/>
      <c r="I19" s="6"/>
      <c r="J19" s="6"/>
      <c r="K19" s="6"/>
    </row>
    <row r="20" spans="1:13" s="6" customFormat="1" ht="30" customHeight="1" x14ac:dyDescent="0.25">
      <c r="A20" s="96" t="s">
        <v>306</v>
      </c>
      <c r="B20" s="1041">
        <f>J10*M10</f>
        <v>180000</v>
      </c>
      <c r="C20" s="1042"/>
      <c r="D20" s="1042"/>
      <c r="E20" s="1042"/>
    </row>
    <row r="21" spans="1:13" ht="30" customHeight="1" x14ac:dyDescent="0.25">
      <c r="A21" s="98" t="s">
        <v>8</v>
      </c>
      <c r="B21" s="1000">
        <f>B20*L10</f>
        <v>27000</v>
      </c>
      <c r="C21" s="1000"/>
      <c r="D21" s="1000"/>
      <c r="E21" s="1000"/>
      <c r="F21" s="6"/>
      <c r="G21" s="6"/>
      <c r="H21" s="6"/>
      <c r="I21" s="6"/>
      <c r="J21" s="6"/>
      <c r="K21" s="6"/>
    </row>
    <row r="22" spans="1:13" ht="30" customHeight="1" x14ac:dyDescent="0.25">
      <c r="A22" s="98" t="s">
        <v>9</v>
      </c>
      <c r="B22" s="1000">
        <f>B20*L13*65/1000</f>
        <v>28080</v>
      </c>
      <c r="C22" s="1000"/>
      <c r="D22" s="1000"/>
      <c r="E22" s="1000"/>
      <c r="F22" s="6"/>
      <c r="G22" s="6"/>
      <c r="H22" s="6"/>
      <c r="I22" s="6"/>
      <c r="J22" s="6"/>
      <c r="K22" s="6"/>
    </row>
    <row r="23" spans="1:13" ht="30" customHeight="1" x14ac:dyDescent="0.25">
      <c r="A23" s="98" t="s">
        <v>301</v>
      </c>
      <c r="B23" s="1016">
        <f>B17/(B21+B22)</f>
        <v>8.7872185911401601</v>
      </c>
      <c r="C23" s="1016"/>
      <c r="D23" s="1016"/>
      <c r="E23" s="1016"/>
      <c r="F23" s="6"/>
      <c r="G23" s="6"/>
      <c r="H23" s="6"/>
      <c r="I23" s="6"/>
      <c r="J23" s="6"/>
      <c r="K23" s="6"/>
    </row>
    <row r="24" spans="1:13" ht="30" customHeight="1" x14ac:dyDescent="0.25">
      <c r="A24" s="98" t="s">
        <v>302</v>
      </c>
      <c r="B24" s="1048">
        <f>(B17-B18)/(B21+B22)</f>
        <v>8.7872185911401601</v>
      </c>
      <c r="C24" s="1048"/>
      <c r="D24" s="1048"/>
      <c r="E24" s="1048"/>
      <c r="F24" s="6"/>
      <c r="G24" s="6"/>
      <c r="H24" s="6"/>
      <c r="I24" s="6"/>
      <c r="J24" s="6"/>
      <c r="K24" s="6"/>
    </row>
    <row r="25" spans="1:13" ht="30" customHeight="1" x14ac:dyDescent="0.25">
      <c r="A25" s="100" t="s">
        <v>305</v>
      </c>
      <c r="B25" s="1070">
        <f>J10*M10*N10/1000</f>
        <v>90.654545454545456</v>
      </c>
      <c r="C25" s="1070"/>
      <c r="D25" s="1070"/>
      <c r="E25" s="1070"/>
      <c r="F25" s="6"/>
      <c r="G25" s="6"/>
      <c r="H25" s="6"/>
      <c r="I25" s="6"/>
      <c r="J25" s="6"/>
      <c r="K25" s="6"/>
    </row>
    <row r="26" spans="1:13" ht="30" customHeight="1" x14ac:dyDescent="0.25">
      <c r="A26" s="101" t="s">
        <v>303</v>
      </c>
      <c r="B26" s="1058">
        <f>B25/'Objectifs CO2'!C7</f>
        <v>8.3623026011612644E-2</v>
      </c>
      <c r="C26" s="1058"/>
      <c r="D26" s="1058"/>
      <c r="E26" s="1058"/>
      <c r="F26" s="6"/>
      <c r="G26" s="6"/>
      <c r="H26" s="6"/>
      <c r="I26" s="6"/>
      <c r="J26" s="6"/>
      <c r="K26" s="6"/>
    </row>
    <row r="27" spans="1:13" ht="30" customHeight="1" x14ac:dyDescent="0.25">
      <c r="A27" s="101" t="s">
        <v>304</v>
      </c>
      <c r="B27" s="1056">
        <f>B25/'Objectifs CO2'!C4</f>
        <v>4.1811513005806317E-3</v>
      </c>
      <c r="C27" s="1057"/>
      <c r="D27" s="1057"/>
      <c r="E27" s="1057"/>
      <c r="F27" s="6"/>
      <c r="G27" s="6"/>
      <c r="H27" s="6"/>
      <c r="I27" s="6"/>
    </row>
    <row r="28" spans="1:13" ht="30" customHeight="1" x14ac:dyDescent="0.25">
      <c r="A28" s="101" t="s">
        <v>22</v>
      </c>
      <c r="B28" s="999" t="s">
        <v>10</v>
      </c>
      <c r="C28" s="999"/>
      <c r="D28" s="999"/>
      <c r="E28" s="999"/>
      <c r="F28" s="6"/>
      <c r="G28" s="6"/>
      <c r="H28" s="6"/>
      <c r="I28" s="6"/>
    </row>
    <row r="29" spans="1:13" ht="30" customHeight="1" x14ac:dyDescent="0.25">
      <c r="A29" s="101" t="s">
        <v>257</v>
      </c>
      <c r="B29" s="999" t="s">
        <v>275</v>
      </c>
      <c r="C29" s="999"/>
      <c r="D29" s="999"/>
      <c r="E29" s="999"/>
      <c r="F29" s="6" t="s">
        <v>272</v>
      </c>
    </row>
    <row r="31" spans="1:13" x14ac:dyDescent="0.25">
      <c r="A31" s="603" t="s">
        <v>1065</v>
      </c>
      <c r="B31" s="1003" t="s">
        <v>675</v>
      </c>
      <c r="C31" s="1003"/>
      <c r="D31" s="1003"/>
      <c r="E31" s="56" t="s">
        <v>676</v>
      </c>
      <c r="F31" s="6"/>
      <c r="G31" s="6"/>
      <c r="H31" s="6"/>
      <c r="I31" s="6"/>
    </row>
    <row r="32" spans="1:13"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7">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J12:M12"/>
    <mergeCell ref="G8:G10"/>
    <mergeCell ref="B10:E10"/>
    <mergeCell ref="B8:E8"/>
    <mergeCell ref="B9:E9"/>
    <mergeCell ref="B11:E11"/>
    <mergeCell ref="B12:E12"/>
    <mergeCell ref="B29:E29"/>
    <mergeCell ref="G16:K17"/>
    <mergeCell ref="B26:E26"/>
    <mergeCell ref="B27:E27"/>
    <mergeCell ref="B28:E28"/>
    <mergeCell ref="B19:E19"/>
    <mergeCell ref="B21:E21"/>
    <mergeCell ref="B22:E22"/>
    <mergeCell ref="B24:E24"/>
    <mergeCell ref="B25:E25"/>
    <mergeCell ref="B23:E23"/>
    <mergeCell ref="B20:E20"/>
    <mergeCell ref="B16:E16"/>
    <mergeCell ref="B17:E17"/>
    <mergeCell ref="B18:E18"/>
    <mergeCell ref="Z5:AB5"/>
    <mergeCell ref="Z6:AA6"/>
    <mergeCell ref="Z8:AA8"/>
    <mergeCell ref="Z9:AA9"/>
    <mergeCell ref="Z10:AA10"/>
    <mergeCell ref="Z16:AA16"/>
    <mergeCell ref="Z11:AA11"/>
    <mergeCell ref="Z12:AA12"/>
    <mergeCell ref="Z13:AA13"/>
    <mergeCell ref="Z14:AA14"/>
    <mergeCell ref="Z15:AA15"/>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A1:E1"/>
    <mergeCell ref="B2:E2"/>
    <mergeCell ref="B31:D31"/>
    <mergeCell ref="B32:D32"/>
    <mergeCell ref="B13:E13"/>
    <mergeCell ref="B14:E14"/>
    <mergeCell ref="B15:E15"/>
    <mergeCell ref="G2:H2"/>
    <mergeCell ref="B3:E3"/>
    <mergeCell ref="G3:H3"/>
    <mergeCell ref="B4:E4"/>
    <mergeCell ref="B5:E5"/>
    <mergeCell ref="B6:E6"/>
    <mergeCell ref="B7:E7"/>
    <mergeCell ref="G7:H7"/>
    <mergeCell ref="G5:H5"/>
    <mergeCell ref="G6:H6"/>
    <mergeCell ref="G4:H4"/>
  </mergeCells>
  <conditionalFormatting sqref="B5">
    <cfRule type="containsText" dxfId="119" priority="1" operator="containsText" text="Terminé">
      <formula>NOT(ISERROR(SEARCH("Terminé",B5)))</formula>
    </cfRule>
    <cfRule type="containsText" dxfId="118" priority="2" operator="containsText" text="En cours">
      <formula>NOT(ISERROR(SEARCH("En cours",B5)))</formula>
    </cfRule>
    <cfRule type="containsText" dxfId="117" priority="3" operator="containsText" text="A faire">
      <formula>NOT(ISERROR(SEARCH("A faire",B5)))</formula>
    </cfRule>
  </conditionalFormatting>
  <hyperlinks>
    <hyperlink ref="J12" r:id="rId1"/>
    <hyperlink ref="M13" r:id="rId2"/>
    <hyperlink ref="O11" r:id="rId3" display="http://www.ef4.be/documents/eloral_images/qualiwatt-les-derniers-developpements-reglementaires-et-les-details-pratiques-de-la-mise-en-oeuvre-du-systeme-de-soutien.pdf"/>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9"/>
  <sheetViews>
    <sheetView topLeftCell="A16" zoomScaleNormal="100" workbookViewId="0">
      <selection activeCell="G3" sqref="G3:H3"/>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800</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36</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414</v>
      </c>
      <c r="C6" s="993"/>
      <c r="D6" s="993"/>
      <c r="E6" s="993"/>
      <c r="F6" s="7"/>
      <c r="G6" s="986" t="s">
        <v>755</v>
      </c>
      <c r="H6" s="986"/>
      <c r="I6" s="6"/>
      <c r="J6" s="6"/>
      <c r="Z6" s="1026"/>
      <c r="AA6" s="1027"/>
      <c r="AB6" s="357" t="s">
        <v>610</v>
      </c>
    </row>
    <row r="7" spans="1:28" s="6" customFormat="1" ht="19.5" customHeight="1" x14ac:dyDescent="0.25">
      <c r="A7" s="253" t="s">
        <v>475</v>
      </c>
      <c r="B7" s="994" t="s">
        <v>26</v>
      </c>
      <c r="C7" s="994"/>
      <c r="D7" s="994"/>
      <c r="E7" s="994"/>
      <c r="F7" s="7"/>
      <c r="G7" s="995" t="s">
        <v>756</v>
      </c>
      <c r="H7" s="995"/>
      <c r="I7" s="400"/>
      <c r="J7" s="400"/>
      <c r="Z7" s="401"/>
      <c r="AA7" s="402"/>
      <c r="AB7" s="357"/>
    </row>
    <row r="8" spans="1:28" ht="24" customHeight="1" x14ac:dyDescent="0.25">
      <c r="A8" s="98" t="s">
        <v>1</v>
      </c>
      <c r="B8" s="967" t="s">
        <v>1001</v>
      </c>
      <c r="C8" s="967"/>
      <c r="D8" s="967"/>
      <c r="E8" s="967"/>
      <c r="G8" s="997" t="s">
        <v>936</v>
      </c>
      <c r="H8" s="6"/>
      <c r="I8" s="6"/>
      <c r="J8" s="6"/>
      <c r="K8" s="6"/>
      <c r="L8" s="6"/>
      <c r="M8" s="6"/>
      <c r="Z8" s="1028" t="s">
        <v>611</v>
      </c>
      <c r="AA8" s="1029"/>
      <c r="AB8" s="357">
        <v>0.26819999999999999</v>
      </c>
    </row>
    <row r="9" spans="1:28" ht="24" customHeight="1" x14ac:dyDescent="0.25">
      <c r="A9" s="98" t="s">
        <v>0</v>
      </c>
      <c r="B9" s="967" t="s">
        <v>1077</v>
      </c>
      <c r="C9" s="967"/>
      <c r="D9" s="967"/>
      <c r="E9" s="967"/>
      <c r="G9" s="997"/>
      <c r="H9" s="6"/>
      <c r="I9" s="6"/>
      <c r="J9" s="6"/>
      <c r="K9" s="6"/>
      <c r="L9" s="6"/>
      <c r="M9" s="6"/>
      <c r="Z9" s="1028" t="s">
        <v>612</v>
      </c>
      <c r="AA9" s="1029"/>
      <c r="AB9" s="357">
        <v>3.1300000000000001E-2</v>
      </c>
    </row>
    <row r="10" spans="1:28" ht="33.75" customHeight="1" x14ac:dyDescent="0.25">
      <c r="A10" s="98" t="s">
        <v>2</v>
      </c>
      <c r="B10" s="1008" t="s">
        <v>1060</v>
      </c>
      <c r="C10" s="1009"/>
      <c r="D10" s="1009"/>
      <c r="E10" s="1009"/>
      <c r="G10" s="997"/>
      <c r="H10" s="6"/>
      <c r="I10" s="6"/>
      <c r="J10" s="70" t="s">
        <v>172</v>
      </c>
      <c r="K10" s="85" t="s">
        <v>170</v>
      </c>
      <c r="L10" s="70" t="s">
        <v>120</v>
      </c>
      <c r="M10" s="71" t="s">
        <v>168</v>
      </c>
      <c r="N10" s="71" t="s">
        <v>169</v>
      </c>
      <c r="O10" s="84" t="s">
        <v>171</v>
      </c>
      <c r="Z10" s="1028"/>
      <c r="AA10" s="1029"/>
      <c r="AB10" s="357"/>
    </row>
    <row r="11" spans="1:28" ht="31.5" customHeight="1" x14ac:dyDescent="0.25">
      <c r="A11" s="98" t="s">
        <v>29</v>
      </c>
      <c r="B11" s="1034"/>
      <c r="C11" s="1035"/>
      <c r="D11" s="1035"/>
      <c r="E11" s="1035"/>
      <c r="G11" s="254">
        <f>J11</f>
        <v>20</v>
      </c>
      <c r="H11" s="131" t="s">
        <v>547</v>
      </c>
      <c r="I11" s="6"/>
      <c r="J11" s="84">
        <v>20</v>
      </c>
      <c r="K11" s="85">
        <f>J11*1000</f>
        <v>20000</v>
      </c>
      <c r="L11" s="84">
        <v>0.2</v>
      </c>
      <c r="M11" s="85">
        <v>900</v>
      </c>
      <c r="N11" s="360">
        <f>AB13</f>
        <v>0.50363636363636366</v>
      </c>
      <c r="O11" s="84">
        <v>2.42</v>
      </c>
      <c r="Z11" s="1028" t="s">
        <v>613</v>
      </c>
      <c r="AA11" s="1029"/>
      <c r="AB11" s="357">
        <v>0.26819999999999999</v>
      </c>
    </row>
    <row r="12" spans="1:28" ht="30" customHeight="1" x14ac:dyDescent="0.25">
      <c r="A12" s="98" t="s">
        <v>14</v>
      </c>
      <c r="B12" s="1010" t="s">
        <v>36</v>
      </c>
      <c r="C12" s="1010"/>
      <c r="D12" s="1010"/>
      <c r="E12" s="1010"/>
      <c r="J12" s="6"/>
      <c r="K12" s="6"/>
      <c r="L12" s="6"/>
      <c r="M12" s="6"/>
      <c r="N12" s="164" t="s">
        <v>408</v>
      </c>
      <c r="O12" s="271" t="s">
        <v>942</v>
      </c>
      <c r="P12" s="212"/>
      <c r="Q12" s="212"/>
      <c r="V12" s="212"/>
      <c r="W12" s="212"/>
      <c r="X12" s="212"/>
      <c r="Y12" s="212"/>
      <c r="Z12" s="1028" t="s">
        <v>614</v>
      </c>
      <c r="AA12" s="1029"/>
      <c r="AB12" s="357">
        <v>1.18E-2</v>
      </c>
    </row>
    <row r="13" spans="1:28" ht="30" customHeight="1" x14ac:dyDescent="0.25">
      <c r="A13" s="98" t="s">
        <v>3</v>
      </c>
      <c r="B13" s="1011"/>
      <c r="C13" s="1011"/>
      <c r="D13" s="1011"/>
      <c r="E13" s="1011"/>
      <c r="G13" s="6"/>
      <c r="H13" s="6"/>
      <c r="I13" s="6"/>
      <c r="J13" s="6"/>
      <c r="K13" s="6"/>
      <c r="L13" s="6"/>
      <c r="M13" s="6"/>
      <c r="N13" s="6"/>
      <c r="O13" s="6"/>
      <c r="P13" s="6"/>
      <c r="Q13" s="6"/>
      <c r="V13" s="6"/>
      <c r="W13" s="6"/>
      <c r="X13" s="6"/>
      <c r="Y13" s="6"/>
      <c r="Z13" s="1028" t="s">
        <v>615</v>
      </c>
      <c r="AA13" s="1029"/>
      <c r="AB13" s="358">
        <f>AB15/0.55</f>
        <v>0.50363636363636366</v>
      </c>
    </row>
    <row r="14" spans="1:28" ht="30" customHeight="1" x14ac:dyDescent="0.25">
      <c r="A14" s="98" t="s">
        <v>15</v>
      </c>
      <c r="B14" s="1010"/>
      <c r="C14" s="1010"/>
      <c r="D14" s="1010"/>
      <c r="E14" s="1010"/>
      <c r="J14" s="6" t="s">
        <v>291</v>
      </c>
      <c r="K14" s="6"/>
      <c r="L14" s="6">
        <v>2.4</v>
      </c>
      <c r="M14" s="164" t="s">
        <v>409</v>
      </c>
      <c r="N14" s="1135" t="s">
        <v>410</v>
      </c>
      <c r="O14" s="1135"/>
      <c r="P14" s="1135"/>
      <c r="Q14" s="1135"/>
      <c r="V14" s="6"/>
      <c r="W14" s="6"/>
      <c r="X14" s="6"/>
      <c r="Y14" s="6"/>
      <c r="Z14" s="1028" t="s">
        <v>616</v>
      </c>
      <c r="AA14" s="1029"/>
      <c r="AB14" s="357">
        <v>0.26819999999999999</v>
      </c>
    </row>
    <row r="15" spans="1:28" ht="30" customHeight="1" x14ac:dyDescent="0.25">
      <c r="A15" s="98" t="s">
        <v>4</v>
      </c>
      <c r="B15" s="1010">
        <v>2017</v>
      </c>
      <c r="C15" s="1010"/>
      <c r="D15" s="1010"/>
      <c r="E15" s="1010"/>
      <c r="F15" s="6"/>
      <c r="N15" s="6"/>
      <c r="O15" s="6"/>
      <c r="U15" s="6"/>
      <c r="V15" s="6"/>
      <c r="W15" s="6"/>
      <c r="X15" s="6"/>
      <c r="Y15" s="6"/>
      <c r="Z15" s="1028" t="s">
        <v>578</v>
      </c>
      <c r="AA15" s="1029"/>
      <c r="AB15" s="357">
        <v>0.27700000000000002</v>
      </c>
    </row>
    <row r="16" spans="1:28" ht="30" customHeight="1" x14ac:dyDescent="0.25">
      <c r="A16" s="98" t="s">
        <v>5</v>
      </c>
      <c r="B16" s="1010">
        <v>2030</v>
      </c>
      <c r="C16" s="1010"/>
      <c r="D16" s="1010"/>
      <c r="E16" s="1010"/>
      <c r="F16" s="6"/>
      <c r="G16" s="1134"/>
      <c r="H16" s="1134"/>
      <c r="I16" s="1134"/>
      <c r="J16" s="1134"/>
      <c r="K16" s="1134"/>
      <c r="L16" s="6"/>
      <c r="M16" s="6"/>
      <c r="Z16" s="1028" t="s">
        <v>579</v>
      </c>
      <c r="AA16" s="1029"/>
      <c r="AB16" s="357">
        <v>0.20269999999999999</v>
      </c>
    </row>
    <row r="17" spans="1:13" ht="30" customHeight="1" x14ac:dyDescent="0.25">
      <c r="A17" s="98" t="s">
        <v>6</v>
      </c>
      <c r="B17" s="1000">
        <f>K11*O11</f>
        <v>48400</v>
      </c>
      <c r="C17" s="1000"/>
      <c r="D17" s="1000"/>
      <c r="E17" s="1000"/>
      <c r="F17" s="6"/>
      <c r="G17" s="1134"/>
      <c r="H17" s="1134"/>
      <c r="I17" s="1134"/>
      <c r="J17" s="1134"/>
      <c r="K17" s="1134"/>
      <c r="L17" s="6"/>
      <c r="M17" s="6"/>
    </row>
    <row r="18" spans="1:13" ht="30" customHeight="1" x14ac:dyDescent="0.25">
      <c r="A18" s="98" t="s">
        <v>7</v>
      </c>
      <c r="B18" s="1000">
        <v>0</v>
      </c>
      <c r="C18" s="1000"/>
      <c r="D18" s="1000"/>
      <c r="E18" s="1000"/>
      <c r="F18" s="6"/>
      <c r="G18" s="1134"/>
      <c r="H18" s="1134"/>
      <c r="I18" s="1134"/>
      <c r="J18" s="1134"/>
      <c r="K18" s="1134"/>
      <c r="L18" s="6"/>
      <c r="M18" s="6"/>
    </row>
    <row r="19" spans="1:13" ht="30" customHeight="1" x14ac:dyDescent="0.25">
      <c r="A19" s="99" t="s">
        <v>307</v>
      </c>
      <c r="B19" s="1039"/>
      <c r="C19" s="1040"/>
      <c r="D19" s="1040"/>
      <c r="E19" s="1040"/>
      <c r="F19" s="6"/>
      <c r="G19" s="2"/>
      <c r="H19" s="2"/>
      <c r="I19" s="6"/>
      <c r="J19" s="6"/>
      <c r="K19" s="6"/>
      <c r="L19" s="6"/>
      <c r="M19" s="6"/>
    </row>
    <row r="20" spans="1:13" ht="30" customHeight="1" x14ac:dyDescent="0.25">
      <c r="A20" s="96" t="s">
        <v>306</v>
      </c>
      <c r="B20" s="1041">
        <f>J11*M11</f>
        <v>18000</v>
      </c>
      <c r="C20" s="1042"/>
      <c r="D20" s="1042"/>
      <c r="E20" s="1042"/>
      <c r="F20" s="6"/>
      <c r="G20" s="2"/>
      <c r="H20" s="2"/>
      <c r="I20" s="6"/>
    </row>
    <row r="21" spans="1:13" ht="30" customHeight="1" x14ac:dyDescent="0.25">
      <c r="A21" s="98" t="s">
        <v>8</v>
      </c>
      <c r="B21" s="1000">
        <f>B20*L11</f>
        <v>3600</v>
      </c>
      <c r="C21" s="1000"/>
      <c r="D21" s="1000"/>
      <c r="E21" s="1000"/>
      <c r="F21" s="6"/>
      <c r="G21" s="6"/>
      <c r="H21" s="6"/>
      <c r="I21" s="6"/>
    </row>
    <row r="22" spans="1:13" ht="30" customHeight="1" x14ac:dyDescent="0.25">
      <c r="A22" s="98" t="s">
        <v>9</v>
      </c>
      <c r="B22" s="1000">
        <f>B20*L14*65/1000</f>
        <v>2808</v>
      </c>
      <c r="C22" s="1000"/>
      <c r="D22" s="1000"/>
      <c r="E22" s="1000"/>
      <c r="F22" s="6"/>
      <c r="G22" s="6"/>
      <c r="H22" s="6"/>
      <c r="I22" s="6"/>
    </row>
    <row r="23" spans="1:13" ht="30" customHeight="1" x14ac:dyDescent="0.25">
      <c r="A23" s="98" t="s">
        <v>301</v>
      </c>
      <c r="B23" s="1016">
        <f>B17/(B21+B22)</f>
        <v>7.5530586766541825</v>
      </c>
      <c r="C23" s="1016"/>
      <c r="D23" s="1016"/>
      <c r="E23" s="1016"/>
      <c r="F23" s="6"/>
      <c r="G23" s="6"/>
      <c r="H23" s="6"/>
      <c r="I23" s="6"/>
    </row>
    <row r="24" spans="1:13" ht="30" customHeight="1" x14ac:dyDescent="0.25">
      <c r="A24" s="98" t="s">
        <v>302</v>
      </c>
      <c r="B24" s="1048">
        <f>(B17-B18)/(B21+B22)</f>
        <v>7.5530586766541825</v>
      </c>
      <c r="C24" s="1048"/>
      <c r="D24" s="1048"/>
      <c r="E24" s="1048"/>
      <c r="F24" s="6"/>
      <c r="G24" s="6"/>
      <c r="H24" s="6"/>
      <c r="I24" s="6"/>
    </row>
    <row r="25" spans="1:13" ht="30" customHeight="1" x14ac:dyDescent="0.25">
      <c r="A25" s="100" t="s">
        <v>305</v>
      </c>
      <c r="B25" s="1070">
        <f>J11*M11*N11/1000</f>
        <v>9.0654545454545463</v>
      </c>
      <c r="C25" s="1070"/>
      <c r="D25" s="1070"/>
      <c r="E25" s="1070"/>
      <c r="F25" s="6"/>
    </row>
    <row r="26" spans="1:13" ht="30" customHeight="1" x14ac:dyDescent="0.25">
      <c r="A26" s="101" t="s">
        <v>303</v>
      </c>
      <c r="B26" s="1058">
        <f>B25/'Objectifs CO2'!C6</f>
        <v>8.3623026011612651E-3</v>
      </c>
      <c r="C26" s="1058"/>
      <c r="D26" s="1058"/>
      <c r="E26" s="1058"/>
      <c r="F26" s="6"/>
      <c r="G26" s="6"/>
      <c r="H26" s="6"/>
      <c r="I26" s="6"/>
    </row>
    <row r="27" spans="1:13" ht="30" customHeight="1" x14ac:dyDescent="0.25">
      <c r="A27" s="101" t="s">
        <v>304</v>
      </c>
      <c r="B27" s="1056">
        <f>B25/'Objectifs CO2'!C4</f>
        <v>4.1811513005806327E-4</v>
      </c>
      <c r="C27" s="1057"/>
      <c r="D27" s="1057"/>
      <c r="E27" s="1057"/>
      <c r="F27" s="6"/>
      <c r="G27" s="6"/>
      <c r="H27" s="6"/>
      <c r="I27" s="6"/>
    </row>
    <row r="28" spans="1:13" ht="30" customHeight="1" x14ac:dyDescent="0.25">
      <c r="A28" s="101" t="s">
        <v>22</v>
      </c>
      <c r="B28" s="999" t="s">
        <v>10</v>
      </c>
      <c r="C28" s="999"/>
      <c r="D28" s="999"/>
      <c r="E28" s="999"/>
      <c r="F28" s="6"/>
      <c r="G28" s="6"/>
      <c r="H28" s="6"/>
      <c r="I28" s="6"/>
    </row>
    <row r="29" spans="1:13" ht="30" customHeight="1" x14ac:dyDescent="0.25">
      <c r="A29" s="101" t="s">
        <v>257</v>
      </c>
      <c r="B29" s="999" t="s">
        <v>275</v>
      </c>
      <c r="C29" s="999"/>
      <c r="D29" s="999"/>
      <c r="E29" s="999"/>
      <c r="F29" s="6" t="s">
        <v>272</v>
      </c>
    </row>
    <row r="31" spans="1:13" x14ac:dyDescent="0.25">
      <c r="A31" s="603" t="s">
        <v>1065</v>
      </c>
      <c r="B31" s="1003" t="s">
        <v>675</v>
      </c>
      <c r="C31" s="1003"/>
      <c r="D31" s="1003"/>
      <c r="E31" s="56" t="s">
        <v>676</v>
      </c>
      <c r="F31" s="6"/>
      <c r="G31" s="6"/>
      <c r="H31" s="6"/>
      <c r="I31" s="6"/>
    </row>
    <row r="32" spans="1:13"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17">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B17:E17"/>
    <mergeCell ref="B18:E18"/>
    <mergeCell ref="G46:L46"/>
    <mergeCell ref="A47:A51"/>
    <mergeCell ref="B47:F47"/>
    <mergeCell ref="G47:L47"/>
    <mergeCell ref="B48:F48"/>
    <mergeCell ref="G48:L48"/>
    <mergeCell ref="B49:F49"/>
    <mergeCell ref="G49:L49"/>
    <mergeCell ref="B50:F50"/>
    <mergeCell ref="G50:L50"/>
    <mergeCell ref="B51:F51"/>
    <mergeCell ref="G51:L51"/>
    <mergeCell ref="N14:Q14"/>
    <mergeCell ref="G8:G10"/>
    <mergeCell ref="Z5:AB5"/>
    <mergeCell ref="Z6:AA6"/>
    <mergeCell ref="Z8:AA8"/>
    <mergeCell ref="Z9:AA9"/>
    <mergeCell ref="Z10:AA10"/>
    <mergeCell ref="G7:H7"/>
    <mergeCell ref="Z16:AA16"/>
    <mergeCell ref="Z11:AA11"/>
    <mergeCell ref="Z12:AA12"/>
    <mergeCell ref="Z13:AA13"/>
    <mergeCell ref="Z14:AA14"/>
    <mergeCell ref="Z15:AA15"/>
    <mergeCell ref="G5:H5"/>
    <mergeCell ref="G6:H6"/>
    <mergeCell ref="G16:K18"/>
    <mergeCell ref="A1:E1"/>
    <mergeCell ref="B2:E2"/>
    <mergeCell ref="B31:D31"/>
    <mergeCell ref="B32:D32"/>
    <mergeCell ref="G32:I32"/>
    <mergeCell ref="B33:D33"/>
    <mergeCell ref="H33:I33"/>
    <mergeCell ref="G40:I40"/>
    <mergeCell ref="B34:D34"/>
    <mergeCell ref="H34:I34"/>
    <mergeCell ref="B35:D35"/>
    <mergeCell ref="H35:I35"/>
    <mergeCell ref="B36:D36"/>
    <mergeCell ref="B15:E15"/>
    <mergeCell ref="B10:E10"/>
    <mergeCell ref="B11:E11"/>
    <mergeCell ref="B12:E12"/>
    <mergeCell ref="B13:E13"/>
    <mergeCell ref="B14:E14"/>
    <mergeCell ref="B8:E8"/>
    <mergeCell ref="B9:E9"/>
    <mergeCell ref="G4:H4"/>
    <mergeCell ref="B4:E4"/>
    <mergeCell ref="B5:E5"/>
    <mergeCell ref="G2:H2"/>
    <mergeCell ref="B3:E3"/>
    <mergeCell ref="G3:H3"/>
    <mergeCell ref="B42:D42"/>
    <mergeCell ref="B44:D44"/>
    <mergeCell ref="B37:D37"/>
    <mergeCell ref="B38:D38"/>
    <mergeCell ref="B39:D39"/>
    <mergeCell ref="B40:D40"/>
    <mergeCell ref="B41:D41"/>
    <mergeCell ref="B6:E6"/>
    <mergeCell ref="B7:E7"/>
    <mergeCell ref="B25:E25"/>
    <mergeCell ref="B26:E26"/>
    <mergeCell ref="B27:E27"/>
    <mergeCell ref="B29:E29"/>
    <mergeCell ref="B24:E24"/>
    <mergeCell ref="B22:E22"/>
    <mergeCell ref="B19:E19"/>
    <mergeCell ref="B20:E20"/>
    <mergeCell ref="B21:E21"/>
    <mergeCell ref="B23:E23"/>
    <mergeCell ref="B28:E28"/>
    <mergeCell ref="B16:E16"/>
  </mergeCells>
  <conditionalFormatting sqref="B5">
    <cfRule type="containsText" dxfId="116" priority="1" operator="containsText" text="Terminé">
      <formula>NOT(ISERROR(SEARCH("Terminé",B5)))</formula>
    </cfRule>
    <cfRule type="containsText" dxfId="115" priority="2" operator="containsText" text="En cours">
      <formula>NOT(ISERROR(SEARCH("En cours",B5)))</formula>
    </cfRule>
    <cfRule type="containsText" dxfId="114" priority="3" operator="containsText" text="A faire">
      <formula>NOT(ISERROR(SEARCH("A faire",B5)))</formula>
    </cfRule>
  </conditionalFormatting>
  <hyperlinks>
    <hyperlink ref="N14" r:id="rId1"/>
    <hyperlink ref="O12" r:id="rId2" display="http://www.ef4.be/documents/eloral_images/qualiwatt-les-derniers-developpements-reglementaires-et-les-details-pratiques-de-la-mise-en-oeuvre-du-systeme-de-soutien.pdf"/>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9"/>
  <sheetViews>
    <sheetView topLeftCell="A10" zoomScaleNormal="100" workbookViewId="0">
      <selection activeCell="G3" sqref="G3:H3"/>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1001" t="s">
        <v>937</v>
      </c>
      <c r="B1" s="1001"/>
      <c r="C1" s="1001"/>
      <c r="D1" s="1001"/>
      <c r="E1" s="1001"/>
      <c r="F1" s="7"/>
      <c r="G1" s="7"/>
      <c r="H1" s="7"/>
    </row>
    <row r="2" spans="1:28" ht="19.5" customHeight="1" x14ac:dyDescent="0.25">
      <c r="A2" s="415" t="s">
        <v>750</v>
      </c>
      <c r="B2" s="1068" t="s">
        <v>799</v>
      </c>
      <c r="C2" s="1068"/>
      <c r="D2" s="1068"/>
      <c r="E2" s="1068"/>
      <c r="F2" s="7"/>
      <c r="G2" s="986" t="s">
        <v>751</v>
      </c>
      <c r="H2" s="986"/>
    </row>
    <row r="3" spans="1:28" ht="19.5" customHeight="1" x14ac:dyDescent="0.25">
      <c r="A3" s="409" t="s">
        <v>743</v>
      </c>
      <c r="B3" s="987" t="s">
        <v>747</v>
      </c>
      <c r="C3" s="987"/>
      <c r="D3" s="987"/>
      <c r="E3" s="987"/>
      <c r="F3" s="7"/>
      <c r="G3" s="986" t="s">
        <v>752</v>
      </c>
      <c r="H3" s="986"/>
      <c r="I3" s="6"/>
      <c r="J3" s="6"/>
    </row>
    <row r="4" spans="1:28" ht="19.5" customHeight="1" x14ac:dyDescent="0.25">
      <c r="A4" s="403" t="s">
        <v>292</v>
      </c>
      <c r="B4" s="996" t="s">
        <v>38</v>
      </c>
      <c r="C4" s="996"/>
      <c r="D4" s="996"/>
      <c r="E4" s="996"/>
      <c r="F4" s="7"/>
      <c r="G4" s="986" t="s">
        <v>753</v>
      </c>
      <c r="H4" s="986"/>
      <c r="I4" s="6"/>
      <c r="J4" s="6"/>
    </row>
    <row r="5" spans="1:28" ht="19.5" customHeight="1" x14ac:dyDescent="0.25">
      <c r="A5" s="403" t="s">
        <v>16</v>
      </c>
      <c r="B5" s="1015" t="s">
        <v>17</v>
      </c>
      <c r="C5" s="1015"/>
      <c r="D5" s="1015"/>
      <c r="E5" s="1015"/>
      <c r="F5" s="7"/>
      <c r="G5" s="986" t="s">
        <v>754</v>
      </c>
      <c r="H5" s="986"/>
      <c r="I5" s="6"/>
      <c r="J5" s="6"/>
      <c r="Z5" s="1023" t="s">
        <v>609</v>
      </c>
      <c r="AA5" s="1024"/>
      <c r="AB5" s="1025"/>
    </row>
    <row r="6" spans="1:28" ht="19.5" customHeight="1" x14ac:dyDescent="0.25">
      <c r="A6" s="413" t="s">
        <v>474</v>
      </c>
      <c r="B6" s="993" t="s">
        <v>45</v>
      </c>
      <c r="C6" s="993"/>
      <c r="D6" s="993"/>
      <c r="E6" s="993"/>
      <c r="F6" s="7"/>
      <c r="G6" s="986" t="s">
        <v>755</v>
      </c>
      <c r="H6" s="986"/>
      <c r="I6" s="6"/>
      <c r="J6" s="6"/>
      <c r="Z6" s="1026"/>
      <c r="AA6" s="1027"/>
      <c r="AB6" s="357" t="s">
        <v>610</v>
      </c>
    </row>
    <row r="7" spans="1:28" s="6" customFormat="1" ht="19.5" customHeight="1" x14ac:dyDescent="0.25">
      <c r="A7" s="253" t="s">
        <v>475</v>
      </c>
      <c r="B7" s="994" t="s">
        <v>426</v>
      </c>
      <c r="C7" s="994"/>
      <c r="D7" s="994"/>
      <c r="E7" s="994"/>
      <c r="F7" s="7"/>
      <c r="G7" s="995" t="s">
        <v>756</v>
      </c>
      <c r="H7" s="995"/>
      <c r="I7" s="400"/>
      <c r="J7" s="400"/>
      <c r="Z7" s="401"/>
      <c r="AA7" s="402"/>
      <c r="AB7" s="357"/>
    </row>
    <row r="8" spans="1:28" ht="24" customHeight="1" x14ac:dyDescent="0.25">
      <c r="A8" s="98" t="s">
        <v>1</v>
      </c>
      <c r="B8" s="967" t="s">
        <v>1000</v>
      </c>
      <c r="C8" s="967"/>
      <c r="D8" s="967"/>
      <c r="E8" s="967"/>
      <c r="G8" s="997" t="s">
        <v>936</v>
      </c>
      <c r="H8" s="6"/>
      <c r="I8" s="6"/>
      <c r="J8" s="6"/>
      <c r="K8" s="6"/>
      <c r="L8" s="6"/>
      <c r="M8" s="6"/>
      <c r="N8" s="6"/>
      <c r="O8" s="6"/>
      <c r="P8" s="6"/>
      <c r="Q8" s="6"/>
      <c r="R8" s="6"/>
      <c r="S8" s="6"/>
      <c r="T8" s="6"/>
      <c r="Z8" s="1028" t="s">
        <v>611</v>
      </c>
      <c r="AA8" s="1029"/>
      <c r="AB8" s="357">
        <v>0.26819999999999999</v>
      </c>
    </row>
    <row r="9" spans="1:28" ht="24" customHeight="1" x14ac:dyDescent="0.25">
      <c r="A9" s="98" t="s">
        <v>0</v>
      </c>
      <c r="B9" s="967" t="s">
        <v>1078</v>
      </c>
      <c r="C9" s="967"/>
      <c r="D9" s="967"/>
      <c r="E9" s="967"/>
      <c r="G9" s="997"/>
      <c r="H9" s="6"/>
      <c r="I9" s="6"/>
      <c r="J9" s="6"/>
      <c r="K9" s="6"/>
      <c r="L9" s="6"/>
      <c r="M9" s="6"/>
      <c r="N9" s="6"/>
      <c r="O9" s="6"/>
      <c r="P9" s="6"/>
      <c r="Q9" s="6"/>
      <c r="R9" s="6"/>
      <c r="S9" s="6"/>
      <c r="T9" s="6"/>
      <c r="Z9" s="1028" t="s">
        <v>612</v>
      </c>
      <c r="AA9" s="1029"/>
      <c r="AB9" s="357">
        <v>3.1300000000000001E-2</v>
      </c>
    </row>
    <row r="10" spans="1:28" ht="39.75" customHeight="1" x14ac:dyDescent="0.25">
      <c r="A10" s="98" t="s">
        <v>2</v>
      </c>
      <c r="B10" s="1008" t="s">
        <v>1061</v>
      </c>
      <c r="C10" s="1009"/>
      <c r="D10" s="1009"/>
      <c r="E10" s="1009"/>
      <c r="G10" s="997"/>
      <c r="H10" s="6"/>
      <c r="I10" s="6"/>
      <c r="J10" s="70" t="s">
        <v>136</v>
      </c>
      <c r="K10" s="70" t="s">
        <v>167</v>
      </c>
      <c r="L10" s="70" t="s">
        <v>120</v>
      </c>
      <c r="M10" s="71" t="s">
        <v>168</v>
      </c>
      <c r="N10" s="71" t="s">
        <v>169</v>
      </c>
      <c r="O10" s="59" t="s">
        <v>170</v>
      </c>
      <c r="T10" s="59" t="s">
        <v>171</v>
      </c>
      <c r="Z10" s="1028"/>
      <c r="AA10" s="1029"/>
      <c r="AB10" s="357"/>
    </row>
    <row r="11" spans="1:28" ht="20.25" customHeight="1" x14ac:dyDescent="0.25">
      <c r="A11" s="98" t="s">
        <v>29</v>
      </c>
      <c r="B11" s="1035"/>
      <c r="C11" s="1035"/>
      <c r="D11" s="1035"/>
      <c r="E11" s="1035"/>
      <c r="G11" s="254">
        <f>J11*K11</f>
        <v>100</v>
      </c>
      <c r="H11" s="131" t="s">
        <v>547</v>
      </c>
      <c r="I11" s="6"/>
      <c r="J11" s="59">
        <v>10</v>
      </c>
      <c r="K11" s="59">
        <v>10</v>
      </c>
      <c r="L11" s="59">
        <v>0.25</v>
      </c>
      <c r="M11" s="60">
        <v>900</v>
      </c>
      <c r="N11" s="359">
        <f>AB13</f>
        <v>0.50363636363636366</v>
      </c>
      <c r="O11" s="59">
        <v>3000</v>
      </c>
      <c r="T11" s="59">
        <f>2.285*1.06</f>
        <v>2.4221000000000004</v>
      </c>
      <c r="Z11" s="1028" t="s">
        <v>613</v>
      </c>
      <c r="AA11" s="1029"/>
      <c r="AB11" s="357">
        <v>0.26819999999999999</v>
      </c>
    </row>
    <row r="12" spans="1:28" ht="30" customHeight="1" x14ac:dyDescent="0.25">
      <c r="A12" s="98" t="s">
        <v>14</v>
      </c>
      <c r="B12" s="1010" t="s">
        <v>38</v>
      </c>
      <c r="C12" s="1010"/>
      <c r="D12" s="1010"/>
      <c r="E12" s="1010"/>
      <c r="G12" s="6"/>
      <c r="H12" s="6"/>
      <c r="I12" s="6"/>
      <c r="J12" s="6"/>
      <c r="K12" s="6" t="s">
        <v>407</v>
      </c>
      <c r="L12" s="94" t="s">
        <v>942</v>
      </c>
      <c r="M12" s="6"/>
      <c r="N12" s="6"/>
      <c r="O12" s="6"/>
      <c r="T12" s="6"/>
      <c r="Z12" s="1028" t="s">
        <v>614</v>
      </c>
      <c r="AA12" s="1029"/>
      <c r="AB12" s="357">
        <v>1.18E-2</v>
      </c>
    </row>
    <row r="13" spans="1:28" ht="30" customHeight="1" x14ac:dyDescent="0.25">
      <c r="A13" s="98" t="s">
        <v>3</v>
      </c>
      <c r="B13" s="1010"/>
      <c r="C13" s="1010"/>
      <c r="D13" s="1010"/>
      <c r="E13" s="1010"/>
      <c r="G13" s="268" t="s">
        <v>284</v>
      </c>
      <c r="H13" s="9"/>
      <c r="I13" s="9"/>
      <c r="J13" s="6"/>
      <c r="K13" s="6"/>
      <c r="L13" s="6"/>
      <c r="M13" s="6"/>
      <c r="N13" s="6"/>
      <c r="O13" s="6"/>
      <c r="P13" s="6"/>
      <c r="Q13" s="6"/>
      <c r="R13" s="6"/>
      <c r="S13" s="6"/>
      <c r="T13" s="6"/>
      <c r="Z13" s="1028" t="s">
        <v>615</v>
      </c>
      <c r="AA13" s="1029"/>
      <c r="AB13" s="358">
        <f>AB15/0.55</f>
        <v>0.50363636363636366</v>
      </c>
    </row>
    <row r="14" spans="1:28" ht="30" customHeight="1" x14ac:dyDescent="0.25">
      <c r="A14" s="98" t="s">
        <v>15</v>
      </c>
      <c r="B14" s="1010"/>
      <c r="C14" s="1010"/>
      <c r="D14" s="1010"/>
      <c r="E14" s="1010"/>
      <c r="G14" s="267" t="s">
        <v>285</v>
      </c>
      <c r="H14" s="267"/>
      <c r="I14" s="267">
        <v>3</v>
      </c>
      <c r="J14" s="6"/>
      <c r="K14" s="6"/>
      <c r="L14" s="6"/>
      <c r="M14" s="6"/>
      <c r="N14" s="6"/>
      <c r="O14" s="6"/>
      <c r="P14" s="6"/>
      <c r="Q14" s="6"/>
      <c r="R14" s="6"/>
      <c r="S14" s="6"/>
      <c r="T14" s="6"/>
      <c r="Z14" s="1028" t="s">
        <v>616</v>
      </c>
      <c r="AA14" s="1029"/>
      <c r="AB14" s="357">
        <v>0.26819999999999999</v>
      </c>
    </row>
    <row r="15" spans="1:28" ht="30" customHeight="1" x14ac:dyDescent="0.25">
      <c r="A15" s="98" t="s">
        <v>4</v>
      </c>
      <c r="B15" s="1010">
        <v>2017</v>
      </c>
      <c r="C15" s="1010"/>
      <c r="D15" s="1010"/>
      <c r="E15" s="1010"/>
      <c r="F15" s="6"/>
      <c r="G15" s="989" t="s">
        <v>286</v>
      </c>
      <c r="H15" s="991"/>
      <c r="I15" s="269">
        <f>I14*T11*1000</f>
        <v>7266.3000000000011</v>
      </c>
      <c r="J15" s="6"/>
      <c r="K15" s="6"/>
      <c r="L15" s="6"/>
      <c r="M15" s="6"/>
      <c r="N15" s="6"/>
      <c r="O15" s="6"/>
      <c r="P15" s="6"/>
      <c r="Q15" s="6"/>
      <c r="R15" s="6"/>
      <c r="S15" s="6"/>
      <c r="T15" s="6"/>
      <c r="Z15" s="1028" t="s">
        <v>578</v>
      </c>
      <c r="AA15" s="1029"/>
      <c r="AB15" s="357">
        <v>0.27700000000000002</v>
      </c>
    </row>
    <row r="16" spans="1:28" ht="30" customHeight="1" x14ac:dyDescent="0.25">
      <c r="A16" s="98" t="s">
        <v>5</v>
      </c>
      <c r="B16" s="1010">
        <v>2030</v>
      </c>
      <c r="C16" s="1010"/>
      <c r="D16" s="1010"/>
      <c r="E16" s="1010"/>
      <c r="F16" s="6"/>
      <c r="G16" s="989" t="s">
        <v>287</v>
      </c>
      <c r="H16" s="991"/>
      <c r="I16" s="269">
        <v>2735</v>
      </c>
      <c r="J16" s="6"/>
      <c r="K16" s="6"/>
      <c r="L16" s="6"/>
      <c r="M16" s="6"/>
      <c r="N16" s="6"/>
      <c r="O16" s="6"/>
      <c r="P16" s="6"/>
      <c r="Q16" s="6"/>
      <c r="R16" s="6"/>
      <c r="S16" s="6"/>
      <c r="T16" s="6"/>
      <c r="Z16" s="1028" t="s">
        <v>579</v>
      </c>
      <c r="AA16" s="1029"/>
      <c r="AB16" s="357">
        <v>0.20269999999999999</v>
      </c>
    </row>
    <row r="17" spans="1:20" ht="30" customHeight="1" x14ac:dyDescent="0.25">
      <c r="A17" s="98" t="s">
        <v>6</v>
      </c>
      <c r="B17" s="1000">
        <f>J11*O11*T11+I17*J11</f>
        <v>77343.000000000015</v>
      </c>
      <c r="C17" s="1000"/>
      <c r="D17" s="1000"/>
      <c r="E17" s="1000"/>
      <c r="F17" s="6"/>
      <c r="G17" s="267" t="s">
        <v>288</v>
      </c>
      <c r="H17" s="267"/>
      <c r="I17" s="269">
        <v>468</v>
      </c>
      <c r="J17" s="6"/>
      <c r="K17" s="6"/>
      <c r="L17" s="6"/>
      <c r="M17" s="6"/>
      <c r="N17" s="6"/>
      <c r="O17" s="6"/>
      <c r="P17" s="6"/>
      <c r="Q17" s="6"/>
      <c r="R17" s="6"/>
      <c r="S17" s="6"/>
      <c r="T17" s="6"/>
    </row>
    <row r="18" spans="1:20" ht="30" customHeight="1" x14ac:dyDescent="0.25">
      <c r="A18" s="98" t="s">
        <v>7</v>
      </c>
      <c r="B18" s="1000">
        <f>J11*I18</f>
        <v>49993.000000000015</v>
      </c>
      <c r="C18" s="1000"/>
      <c r="D18" s="1000"/>
      <c r="E18" s="1000"/>
      <c r="F18" s="6"/>
      <c r="G18" s="1128" t="s">
        <v>289</v>
      </c>
      <c r="H18" s="1129"/>
      <c r="I18" s="269">
        <f>I15-I16+I17</f>
        <v>4999.3000000000011</v>
      </c>
      <c r="J18" s="6"/>
      <c r="K18" s="6"/>
      <c r="L18" s="6"/>
      <c r="M18" s="6"/>
      <c r="N18" s="6"/>
      <c r="O18" s="6"/>
      <c r="P18" s="6"/>
      <c r="Q18" s="6"/>
      <c r="R18" s="6"/>
      <c r="S18" s="6"/>
      <c r="T18" s="6"/>
    </row>
    <row r="19" spans="1:20" ht="30" customHeight="1" x14ac:dyDescent="0.25">
      <c r="A19" s="99" t="s">
        <v>307</v>
      </c>
      <c r="B19" s="1039"/>
      <c r="C19" s="1040"/>
      <c r="D19" s="1040"/>
      <c r="E19" s="1040"/>
      <c r="F19" s="6"/>
      <c r="G19" s="1127" t="s">
        <v>546</v>
      </c>
      <c r="H19" s="1127"/>
      <c r="I19" s="270">
        <v>0</v>
      </c>
      <c r="J19" s="6"/>
      <c r="K19" s="6"/>
      <c r="L19" s="6"/>
      <c r="M19" s="6"/>
      <c r="N19" s="6"/>
      <c r="O19" s="6"/>
      <c r="P19" s="6"/>
      <c r="Q19" s="6"/>
      <c r="R19" s="6"/>
      <c r="S19" s="6"/>
      <c r="T19" s="6"/>
    </row>
    <row r="20" spans="1:20" ht="30" customHeight="1" x14ac:dyDescent="0.25">
      <c r="A20" s="96" t="s">
        <v>306</v>
      </c>
      <c r="B20" s="1041">
        <f>J11*M11*K11</f>
        <v>90000</v>
      </c>
      <c r="C20" s="1042"/>
      <c r="D20" s="1042"/>
      <c r="E20" s="1042"/>
      <c r="F20" s="6"/>
      <c r="G20" s="1132" t="s">
        <v>289</v>
      </c>
      <c r="H20" s="1133"/>
      <c r="I20" s="93">
        <f>I17-I18+I19</f>
        <v>-4531.3000000000011</v>
      </c>
      <c r="J20" s="6"/>
      <c r="K20" s="6"/>
      <c r="L20" s="6"/>
      <c r="M20" s="6"/>
      <c r="N20" s="6"/>
    </row>
    <row r="21" spans="1:20" ht="30" customHeight="1" x14ac:dyDescent="0.25">
      <c r="A21" s="98" t="s">
        <v>8</v>
      </c>
      <c r="B21" s="1000">
        <f>B20*L11</f>
        <v>22500</v>
      </c>
      <c r="C21" s="1000"/>
      <c r="D21" s="1000"/>
      <c r="E21" s="1000"/>
      <c r="F21" s="6"/>
      <c r="G21" s="6"/>
      <c r="H21" s="6"/>
      <c r="I21" s="6"/>
      <c r="J21" s="6"/>
    </row>
    <row r="22" spans="1:20" ht="30" customHeight="1" x14ac:dyDescent="0.25">
      <c r="A22" s="98" t="s">
        <v>9</v>
      </c>
      <c r="B22" s="1000">
        <f>B20*65/1000*I19</f>
        <v>0</v>
      </c>
      <c r="C22" s="1000"/>
      <c r="D22" s="1000"/>
      <c r="E22" s="1000"/>
      <c r="F22" s="6"/>
      <c r="G22" s="6"/>
      <c r="H22" s="6"/>
      <c r="I22" s="6"/>
      <c r="J22" s="6"/>
    </row>
    <row r="23" spans="1:20" ht="30" customHeight="1" x14ac:dyDescent="0.25">
      <c r="A23" s="98" t="s">
        <v>301</v>
      </c>
      <c r="B23" s="1016">
        <f>B17/(B21+B22)</f>
        <v>3.4374666666666673</v>
      </c>
      <c r="C23" s="1016"/>
      <c r="D23" s="1016"/>
      <c r="E23" s="1016"/>
      <c r="F23" s="6"/>
      <c r="G23" s="6"/>
      <c r="H23" s="6"/>
      <c r="I23" s="6"/>
      <c r="J23" s="6"/>
    </row>
    <row r="24" spans="1:20" ht="30" customHeight="1" x14ac:dyDescent="0.25">
      <c r="A24" s="98" t="s">
        <v>330</v>
      </c>
      <c r="B24" s="1017">
        <f>(B17-B18)/(B21+B22)</f>
        <v>1.2155555555555555</v>
      </c>
      <c r="C24" s="1017"/>
      <c r="D24" s="1017"/>
      <c r="E24" s="1017"/>
      <c r="F24" s="6"/>
      <c r="G24" s="6"/>
      <c r="H24" s="6"/>
      <c r="I24" s="6"/>
      <c r="J24" s="6"/>
    </row>
    <row r="25" spans="1:20" ht="30" customHeight="1" x14ac:dyDescent="0.25">
      <c r="A25" s="100" t="s">
        <v>305</v>
      </c>
      <c r="B25" s="1070">
        <f>B20*N11/1000</f>
        <v>45.327272727272728</v>
      </c>
      <c r="C25" s="1070"/>
      <c r="D25" s="1070"/>
      <c r="E25" s="1070"/>
      <c r="F25" s="6"/>
      <c r="G25" s="6"/>
      <c r="H25" s="6"/>
      <c r="I25" s="6"/>
      <c r="J25" s="6"/>
    </row>
    <row r="26" spans="1:20" ht="30" customHeight="1" x14ac:dyDescent="0.25">
      <c r="A26" s="101" t="s">
        <v>303</v>
      </c>
      <c r="B26" s="1058">
        <f>B25/'Objectifs CO2'!C9</f>
        <v>2.0905756502903161E-2</v>
      </c>
      <c r="C26" s="1058"/>
      <c r="D26" s="1058"/>
      <c r="E26" s="1058"/>
      <c r="F26" s="6"/>
      <c r="G26" s="6"/>
      <c r="H26" s="6"/>
      <c r="I26" s="6"/>
      <c r="J26" s="6"/>
    </row>
    <row r="27" spans="1:20" ht="30" customHeight="1" x14ac:dyDescent="0.25">
      <c r="A27" s="101" t="s">
        <v>304</v>
      </c>
      <c r="B27" s="1056">
        <f>B25/'Objectifs CO2'!C4</f>
        <v>2.0905756502903159E-3</v>
      </c>
      <c r="C27" s="1057"/>
      <c r="D27" s="1057"/>
      <c r="E27" s="1057"/>
      <c r="F27" s="6"/>
      <c r="G27" s="6"/>
      <c r="H27" s="6"/>
      <c r="I27" s="6"/>
    </row>
    <row r="28" spans="1:20" ht="30" customHeight="1" x14ac:dyDescent="0.25">
      <c r="A28" s="101" t="s">
        <v>22</v>
      </c>
      <c r="B28" s="999" t="s">
        <v>10</v>
      </c>
      <c r="C28" s="999"/>
      <c r="D28" s="999"/>
      <c r="E28" s="999"/>
      <c r="F28" s="6"/>
      <c r="G28" s="6"/>
      <c r="H28" s="6"/>
      <c r="I28" s="6"/>
    </row>
    <row r="29" spans="1:20" ht="30" customHeight="1" x14ac:dyDescent="0.25">
      <c r="A29" s="101" t="s">
        <v>257</v>
      </c>
      <c r="B29" s="999" t="s">
        <v>276</v>
      </c>
      <c r="C29" s="999"/>
      <c r="D29" s="999"/>
      <c r="E29" s="999"/>
      <c r="F29" s="6" t="s">
        <v>277</v>
      </c>
    </row>
    <row r="31" spans="1:20" x14ac:dyDescent="0.25">
      <c r="A31" s="603" t="s">
        <v>1065</v>
      </c>
      <c r="B31" s="1003" t="s">
        <v>675</v>
      </c>
      <c r="C31" s="1003"/>
      <c r="D31" s="1003"/>
      <c r="E31" s="56" t="s">
        <v>676</v>
      </c>
      <c r="F31" s="6"/>
      <c r="G31" s="6"/>
      <c r="H31" s="6"/>
      <c r="I31" s="6"/>
    </row>
    <row r="32" spans="1:20" x14ac:dyDescent="0.25">
      <c r="A32" s="377"/>
      <c r="B32" s="992" t="s">
        <v>677</v>
      </c>
      <c r="C32" s="992"/>
      <c r="D32" s="992"/>
      <c r="E32" s="374"/>
      <c r="F32" s="6"/>
      <c r="G32" s="1004" t="s">
        <v>676</v>
      </c>
      <c r="H32" s="1004"/>
      <c r="I32" s="1004"/>
    </row>
    <row r="33" spans="1:12" x14ac:dyDescent="0.25">
      <c r="A33" s="377"/>
      <c r="B33" s="992" t="s">
        <v>678</v>
      </c>
      <c r="C33" s="992"/>
      <c r="D33" s="992"/>
      <c r="E33" s="374"/>
      <c r="F33" s="6"/>
      <c r="G33" s="375">
        <v>3</v>
      </c>
      <c r="H33" s="1004" t="s">
        <v>679</v>
      </c>
      <c r="I33" s="1004"/>
    </row>
    <row r="34" spans="1:12" x14ac:dyDescent="0.25">
      <c r="A34" s="377"/>
      <c r="B34" s="992" t="s">
        <v>680</v>
      </c>
      <c r="C34" s="992"/>
      <c r="D34" s="992"/>
      <c r="E34" s="374"/>
      <c r="F34" s="6"/>
      <c r="G34" s="375">
        <v>2</v>
      </c>
      <c r="H34" s="1004" t="s">
        <v>681</v>
      </c>
      <c r="I34" s="1004"/>
    </row>
    <row r="35" spans="1:12" x14ac:dyDescent="0.25">
      <c r="A35" s="377"/>
      <c r="B35" s="992" t="s">
        <v>682</v>
      </c>
      <c r="C35" s="992"/>
      <c r="D35" s="992"/>
      <c r="E35" s="374"/>
      <c r="F35" s="6"/>
      <c r="G35" s="375">
        <v>1</v>
      </c>
      <c r="H35" s="1004" t="s">
        <v>683</v>
      </c>
      <c r="I35" s="1004"/>
    </row>
    <row r="36" spans="1:12" x14ac:dyDescent="0.25">
      <c r="A36" s="377"/>
      <c r="B36" s="992" t="s">
        <v>684</v>
      </c>
      <c r="C36" s="992"/>
      <c r="D36" s="992"/>
      <c r="E36" s="374"/>
      <c r="F36" s="6"/>
      <c r="G36" s="6"/>
      <c r="H36" s="6"/>
      <c r="I36" s="6"/>
    </row>
    <row r="37" spans="1:12" x14ac:dyDescent="0.25">
      <c r="A37" s="377"/>
      <c r="B37" s="992" t="s">
        <v>685</v>
      </c>
      <c r="C37" s="992"/>
      <c r="D37" s="992"/>
      <c r="E37" s="374"/>
      <c r="F37" s="6"/>
      <c r="G37" s="6"/>
      <c r="H37" s="6"/>
      <c r="I37" s="6"/>
    </row>
    <row r="38" spans="1:12" x14ac:dyDescent="0.25">
      <c r="A38" s="377"/>
      <c r="B38" s="992" t="s">
        <v>686</v>
      </c>
      <c r="C38" s="992"/>
      <c r="D38" s="992"/>
      <c r="E38" s="374"/>
      <c r="F38" s="6"/>
      <c r="G38" s="6"/>
      <c r="H38" s="6"/>
      <c r="I38" s="6"/>
    </row>
    <row r="39" spans="1:12" x14ac:dyDescent="0.25">
      <c r="A39" s="377"/>
      <c r="B39" s="992" t="s">
        <v>687</v>
      </c>
      <c r="C39" s="992"/>
      <c r="D39" s="992"/>
      <c r="E39" s="374"/>
      <c r="F39" s="6"/>
      <c r="G39" s="6"/>
      <c r="H39" s="6"/>
      <c r="I39" s="6"/>
    </row>
    <row r="40" spans="1:12" x14ac:dyDescent="0.25">
      <c r="A40" s="377"/>
      <c r="B40" s="992" t="s">
        <v>688</v>
      </c>
      <c r="C40" s="992"/>
      <c r="D40" s="992"/>
      <c r="E40" s="374"/>
      <c r="F40" s="6"/>
      <c r="G40" s="1005" t="s">
        <v>689</v>
      </c>
      <c r="H40" s="1005"/>
      <c r="I40" s="1005"/>
    </row>
    <row r="41" spans="1:12" x14ac:dyDescent="0.25">
      <c r="A41" s="377"/>
      <c r="B41" s="992" t="s">
        <v>843</v>
      </c>
      <c r="C41" s="992"/>
      <c r="D41" s="992"/>
      <c r="E41" s="374"/>
      <c r="F41" s="6"/>
      <c r="G41" s="377" t="s">
        <v>690</v>
      </c>
      <c r="H41" s="378" t="s">
        <v>691</v>
      </c>
      <c r="I41" s="377" t="s">
        <v>692</v>
      </c>
    </row>
    <row r="42" spans="1:12" x14ac:dyDescent="0.25">
      <c r="A42" s="377"/>
      <c r="B42" s="988" t="s">
        <v>247</v>
      </c>
      <c r="C42" s="988"/>
      <c r="D42" s="988"/>
      <c r="E42" s="376">
        <f>SUM(E32:E40)</f>
        <v>0</v>
      </c>
      <c r="F42" s="6"/>
      <c r="G42" s="377" t="s">
        <v>693</v>
      </c>
      <c r="H42" s="377" t="s">
        <v>694</v>
      </c>
      <c r="I42" s="377" t="s">
        <v>695</v>
      </c>
    </row>
    <row r="43" spans="1:12" x14ac:dyDescent="0.25">
      <c r="A43" s="497"/>
      <c r="B43" s="6"/>
      <c r="C43" s="6"/>
      <c r="D43" s="6"/>
      <c r="E43" s="94" t="s">
        <v>730</v>
      </c>
      <c r="F43" s="6"/>
      <c r="G43" s="6"/>
      <c r="H43" s="6"/>
      <c r="I43" s="6"/>
    </row>
    <row r="44" spans="1:12" x14ac:dyDescent="0.25">
      <c r="A44" s="497"/>
      <c r="B44" s="989" t="s">
        <v>696</v>
      </c>
      <c r="C44" s="990"/>
      <c r="D44" s="991"/>
      <c r="E44" s="267">
        <v>1</v>
      </c>
      <c r="F44" s="6"/>
      <c r="G44" s="377">
        <v>1</v>
      </c>
      <c r="H44" s="377" t="s">
        <v>697</v>
      </c>
      <c r="I44" s="6"/>
    </row>
    <row r="45" spans="1:12" x14ac:dyDescent="0.25">
      <c r="B45" s="6"/>
      <c r="C45" s="6"/>
      <c r="D45" s="6"/>
      <c r="E45" s="6"/>
      <c r="F45" s="6"/>
      <c r="G45" s="377">
        <v>0</v>
      </c>
      <c r="H45" s="377" t="s">
        <v>698</v>
      </c>
      <c r="I45" s="6"/>
    </row>
    <row r="46" spans="1:12" x14ac:dyDescent="0.25">
      <c r="A46" s="6"/>
      <c r="B46" s="6"/>
      <c r="C46" s="6"/>
      <c r="D46" s="6"/>
      <c r="E46" s="6"/>
      <c r="F46" s="6"/>
      <c r="G46" s="1022" t="s">
        <v>965</v>
      </c>
      <c r="H46" s="1022"/>
      <c r="I46" s="1022"/>
      <c r="J46" s="1022"/>
      <c r="K46" s="1022"/>
      <c r="L46" s="1022"/>
    </row>
    <row r="47" spans="1:12" x14ac:dyDescent="0.25">
      <c r="A47" s="959" t="s">
        <v>966</v>
      </c>
      <c r="B47" s="1022"/>
      <c r="C47" s="1022"/>
      <c r="D47" s="1022"/>
      <c r="E47" s="1022"/>
      <c r="F47" s="1022"/>
      <c r="G47" s="1022"/>
      <c r="H47" s="1022"/>
      <c r="I47" s="1022"/>
      <c r="J47" s="1022"/>
      <c r="K47" s="1022"/>
      <c r="L47" s="1022"/>
    </row>
    <row r="48" spans="1:12" x14ac:dyDescent="0.25">
      <c r="A48" s="959"/>
      <c r="B48" s="1022"/>
      <c r="C48" s="1022"/>
      <c r="D48" s="1022"/>
      <c r="E48" s="1022"/>
      <c r="F48" s="1022"/>
      <c r="G48" s="1022"/>
      <c r="H48" s="1022"/>
      <c r="I48" s="1022"/>
      <c r="J48" s="1022"/>
      <c r="K48" s="1022"/>
      <c r="L48" s="1022"/>
    </row>
    <row r="49" spans="1:12" x14ac:dyDescent="0.25">
      <c r="A49" s="959"/>
      <c r="B49" s="1022"/>
      <c r="C49" s="1022"/>
      <c r="D49" s="1022"/>
      <c r="E49" s="1022"/>
      <c r="F49" s="1022"/>
      <c r="G49" s="1022"/>
      <c r="H49" s="1022"/>
      <c r="I49" s="1022"/>
      <c r="J49" s="1022"/>
      <c r="K49" s="1022"/>
      <c r="L49" s="1022"/>
    </row>
    <row r="50" spans="1:12" x14ac:dyDescent="0.25">
      <c r="A50" s="959"/>
      <c r="B50" s="1022"/>
      <c r="C50" s="1022"/>
      <c r="D50" s="1022"/>
      <c r="E50" s="1022"/>
      <c r="F50" s="1022"/>
      <c r="G50" s="1022"/>
      <c r="H50" s="1022"/>
      <c r="I50" s="1022"/>
      <c r="J50" s="1022"/>
      <c r="K50" s="1022"/>
      <c r="L50" s="1022"/>
    </row>
    <row r="51" spans="1:12" x14ac:dyDescent="0.25">
      <c r="A51" s="959"/>
      <c r="B51" s="1022"/>
      <c r="C51" s="1022"/>
      <c r="D51" s="1022"/>
      <c r="E51" s="1022"/>
      <c r="F51" s="1022"/>
      <c r="G51" s="1022"/>
      <c r="H51" s="1022"/>
      <c r="I51" s="1022"/>
      <c r="J51" s="1022"/>
      <c r="K51" s="1022"/>
      <c r="L51" s="1022"/>
    </row>
    <row r="52" spans="1:12" x14ac:dyDescent="0.25">
      <c r="A52" s="959" t="s">
        <v>967</v>
      </c>
      <c r="B52" s="1022"/>
      <c r="C52" s="1022"/>
      <c r="D52" s="1022"/>
      <c r="E52" s="1022"/>
      <c r="F52" s="1022"/>
      <c r="G52" s="1022"/>
      <c r="H52" s="1022"/>
      <c r="I52" s="1022"/>
      <c r="J52" s="1022"/>
      <c r="K52" s="1022"/>
      <c r="L52" s="1022"/>
    </row>
    <row r="53" spans="1:12" x14ac:dyDescent="0.25">
      <c r="A53" s="959"/>
      <c r="B53" s="1022"/>
      <c r="C53" s="1022"/>
      <c r="D53" s="1022"/>
      <c r="E53" s="1022"/>
      <c r="F53" s="1022"/>
      <c r="G53" s="1022"/>
      <c r="H53" s="1022"/>
      <c r="I53" s="1022"/>
      <c r="J53" s="1022"/>
      <c r="K53" s="1022"/>
      <c r="L53" s="1022"/>
    </row>
    <row r="54" spans="1:12" x14ac:dyDescent="0.25">
      <c r="A54" s="959"/>
      <c r="B54" s="1022"/>
      <c r="C54" s="1022"/>
      <c r="D54" s="1022"/>
      <c r="E54" s="1022"/>
      <c r="F54" s="1022"/>
      <c r="G54" s="1022"/>
      <c r="H54" s="1022"/>
      <c r="I54" s="1022"/>
      <c r="J54" s="1022"/>
      <c r="K54" s="1022"/>
      <c r="L54" s="1022"/>
    </row>
    <row r="55" spans="1:12" x14ac:dyDescent="0.25">
      <c r="A55" s="959"/>
      <c r="B55" s="1022"/>
      <c r="C55" s="1022"/>
      <c r="D55" s="1022"/>
      <c r="E55" s="1022"/>
      <c r="F55" s="1022"/>
      <c r="G55" s="1022"/>
      <c r="H55" s="1022"/>
      <c r="I55" s="1022"/>
      <c r="J55" s="1022"/>
      <c r="K55" s="1022"/>
      <c r="L55" s="1022"/>
    </row>
    <row r="56" spans="1:12" x14ac:dyDescent="0.25">
      <c r="A56" s="959"/>
      <c r="B56" s="1022"/>
      <c r="C56" s="1022"/>
      <c r="D56" s="1022"/>
      <c r="E56" s="1022"/>
      <c r="F56" s="1022"/>
      <c r="G56" s="1022"/>
      <c r="H56" s="1022"/>
      <c r="I56" s="1022"/>
      <c r="J56" s="1022"/>
      <c r="K56" s="1022"/>
      <c r="L56" s="1022"/>
    </row>
    <row r="57" spans="1:12" x14ac:dyDescent="0.25">
      <c r="A57" s="959"/>
      <c r="B57" s="1022"/>
      <c r="C57" s="1022"/>
      <c r="D57" s="1022"/>
      <c r="E57" s="1022"/>
      <c r="F57" s="1022"/>
      <c r="G57" s="1022"/>
      <c r="H57" s="1022"/>
      <c r="I57" s="1022"/>
      <c r="J57" s="1022"/>
      <c r="K57" s="1022"/>
      <c r="L57" s="1022"/>
    </row>
    <row r="58" spans="1:12" x14ac:dyDescent="0.25">
      <c r="A58" s="959"/>
      <c r="B58" s="1022"/>
      <c r="C58" s="1022"/>
      <c r="D58" s="1022"/>
      <c r="E58" s="1022"/>
      <c r="F58" s="1022"/>
      <c r="G58" s="1022"/>
      <c r="H58" s="1022"/>
      <c r="I58" s="1022"/>
      <c r="J58" s="1022"/>
      <c r="K58" s="1022"/>
      <c r="L58" s="1022"/>
    </row>
    <row r="59" spans="1:12" x14ac:dyDescent="0.25">
      <c r="A59" s="959"/>
      <c r="B59" s="1022"/>
      <c r="C59" s="1022"/>
      <c r="D59" s="1022"/>
      <c r="E59" s="1022"/>
      <c r="F59" s="1022"/>
      <c r="G59" s="1022"/>
      <c r="H59" s="1022"/>
      <c r="I59" s="1022"/>
      <c r="J59" s="1022"/>
      <c r="K59" s="1022"/>
      <c r="L59" s="1022"/>
    </row>
    <row r="60" spans="1:12" x14ac:dyDescent="0.25">
      <c r="A60" s="959"/>
      <c r="B60" s="1022"/>
      <c r="C60" s="1022"/>
      <c r="D60" s="1022"/>
      <c r="E60" s="1022"/>
      <c r="F60" s="1022"/>
      <c r="G60" s="1022"/>
      <c r="H60" s="1022"/>
      <c r="I60" s="1022"/>
      <c r="J60" s="1022"/>
      <c r="K60" s="1022"/>
      <c r="L60" s="1022"/>
    </row>
    <row r="61" spans="1:12" x14ac:dyDescent="0.25">
      <c r="A61" s="959"/>
      <c r="B61" s="1022"/>
      <c r="C61" s="1022"/>
      <c r="D61" s="1022"/>
      <c r="E61" s="1022"/>
      <c r="F61" s="1022"/>
      <c r="G61" s="1022"/>
      <c r="H61" s="1022"/>
      <c r="I61" s="1022"/>
      <c r="J61" s="1022"/>
      <c r="K61" s="1022"/>
      <c r="L61" s="1022"/>
    </row>
    <row r="62" spans="1:12" x14ac:dyDescent="0.25">
      <c r="A62" s="959"/>
      <c r="B62" s="1022"/>
      <c r="C62" s="1022"/>
      <c r="D62" s="1022"/>
      <c r="E62" s="1022"/>
      <c r="F62" s="1022"/>
      <c r="G62" s="1022"/>
      <c r="H62" s="1022"/>
      <c r="I62" s="1022"/>
      <c r="J62" s="1022"/>
      <c r="K62" s="1022"/>
      <c r="L62" s="1022"/>
    </row>
    <row r="63" spans="1:12" x14ac:dyDescent="0.25">
      <c r="A63" s="959" t="s">
        <v>968</v>
      </c>
      <c r="B63" s="1022"/>
      <c r="C63" s="1022"/>
      <c r="D63" s="1022"/>
      <c r="E63" s="1022"/>
      <c r="F63" s="1022"/>
      <c r="G63" s="1022"/>
      <c r="H63" s="1022"/>
      <c r="I63" s="1022"/>
      <c r="J63" s="1022"/>
      <c r="K63" s="1022"/>
      <c r="L63" s="1022"/>
    </row>
    <row r="64" spans="1:12" x14ac:dyDescent="0.25">
      <c r="A64" s="959"/>
      <c r="B64" s="1022"/>
      <c r="C64" s="1022"/>
      <c r="D64" s="1022"/>
      <c r="E64" s="1022"/>
      <c r="F64" s="1022"/>
      <c r="G64" s="1022"/>
      <c r="H64" s="1022"/>
      <c r="I64" s="1022"/>
      <c r="J64" s="1022"/>
      <c r="K64" s="1022"/>
      <c r="L64" s="1022"/>
    </row>
    <row r="65" spans="1:12" x14ac:dyDescent="0.25">
      <c r="A65" s="959"/>
      <c r="B65" s="1022"/>
      <c r="C65" s="1022"/>
      <c r="D65" s="1022"/>
      <c r="E65" s="1022"/>
      <c r="F65" s="1022"/>
      <c r="G65" s="1022"/>
      <c r="H65" s="1022"/>
      <c r="I65" s="1022"/>
      <c r="J65" s="1022"/>
      <c r="K65" s="1022"/>
      <c r="L65" s="1022"/>
    </row>
    <row r="66" spans="1:12" x14ac:dyDescent="0.25">
      <c r="A66" s="959"/>
      <c r="B66" s="1022"/>
      <c r="C66" s="1022"/>
      <c r="D66" s="1022"/>
      <c r="E66" s="1022"/>
      <c r="F66" s="1022"/>
      <c r="G66" s="1022"/>
      <c r="H66" s="1022"/>
      <c r="I66" s="1022"/>
      <c r="J66" s="1022"/>
      <c r="K66" s="1022"/>
      <c r="L66" s="1022"/>
    </row>
    <row r="67" spans="1:12" x14ac:dyDescent="0.25">
      <c r="A67" s="959"/>
      <c r="B67" s="1022"/>
      <c r="C67" s="1022"/>
      <c r="D67" s="1022"/>
      <c r="E67" s="1022"/>
      <c r="F67" s="1022"/>
      <c r="G67" s="1022"/>
      <c r="H67" s="1022"/>
      <c r="I67" s="1022"/>
      <c r="J67" s="1022"/>
      <c r="K67" s="1022"/>
      <c r="L67" s="1022"/>
    </row>
    <row r="68" spans="1:12" x14ac:dyDescent="0.25">
      <c r="A68" s="959"/>
      <c r="B68" s="1022"/>
      <c r="C68" s="1022"/>
      <c r="D68" s="1022"/>
      <c r="E68" s="1022"/>
      <c r="F68" s="1022"/>
      <c r="G68" s="1022"/>
      <c r="H68" s="1022"/>
      <c r="I68" s="1022"/>
      <c r="J68" s="1022"/>
      <c r="K68" s="1022"/>
      <c r="L68" s="1022"/>
    </row>
    <row r="69" spans="1:12" x14ac:dyDescent="0.25">
      <c r="A69" s="959"/>
      <c r="B69" s="1022"/>
      <c r="C69" s="1022"/>
      <c r="D69" s="1022"/>
      <c r="E69" s="1022"/>
      <c r="F69" s="1022"/>
      <c r="G69" s="1022"/>
      <c r="H69" s="1022"/>
      <c r="I69" s="1022"/>
      <c r="J69" s="1022"/>
      <c r="K69" s="1022"/>
      <c r="L69" s="1022"/>
    </row>
  </sheetData>
  <mergeCells count="120">
    <mergeCell ref="G69:L69"/>
    <mergeCell ref="B62:F62"/>
    <mergeCell ref="G62:L62"/>
    <mergeCell ref="A63:A69"/>
    <mergeCell ref="B63:F63"/>
    <mergeCell ref="G63:L63"/>
    <mergeCell ref="B64:F64"/>
    <mergeCell ref="G64:L64"/>
    <mergeCell ref="B65:F65"/>
    <mergeCell ref="G65:L65"/>
    <mergeCell ref="B66:F66"/>
    <mergeCell ref="G66:L66"/>
    <mergeCell ref="B67:F67"/>
    <mergeCell ref="G67:L67"/>
    <mergeCell ref="B68:F68"/>
    <mergeCell ref="G68:L68"/>
    <mergeCell ref="B69:F69"/>
    <mergeCell ref="G59:L59"/>
    <mergeCell ref="B60:F60"/>
    <mergeCell ref="G60:L60"/>
    <mergeCell ref="B61:F61"/>
    <mergeCell ref="G61:L61"/>
    <mergeCell ref="A52:A62"/>
    <mergeCell ref="B52:F52"/>
    <mergeCell ref="G52:L52"/>
    <mergeCell ref="B53:F53"/>
    <mergeCell ref="G53:L53"/>
    <mergeCell ref="B54:F54"/>
    <mergeCell ref="G54:L54"/>
    <mergeCell ref="B55:F55"/>
    <mergeCell ref="G55:L55"/>
    <mergeCell ref="B56:F56"/>
    <mergeCell ref="G56:L56"/>
    <mergeCell ref="B57:F57"/>
    <mergeCell ref="G57:L57"/>
    <mergeCell ref="B58:F58"/>
    <mergeCell ref="G58:L58"/>
    <mergeCell ref="B59:F59"/>
    <mergeCell ref="G46:L46"/>
    <mergeCell ref="A47:A51"/>
    <mergeCell ref="B47:F47"/>
    <mergeCell ref="G47:L47"/>
    <mergeCell ref="B48:F48"/>
    <mergeCell ref="G48:L48"/>
    <mergeCell ref="B49:F49"/>
    <mergeCell ref="G49:L49"/>
    <mergeCell ref="B50:F50"/>
    <mergeCell ref="G50:L50"/>
    <mergeCell ref="B51:F51"/>
    <mergeCell ref="G51:L51"/>
    <mergeCell ref="G16:H16"/>
    <mergeCell ref="G19:H19"/>
    <mergeCell ref="G8:G10"/>
    <mergeCell ref="B23:E23"/>
    <mergeCell ref="B10:E10"/>
    <mergeCell ref="B8:E8"/>
    <mergeCell ref="B9:E9"/>
    <mergeCell ref="B16:E16"/>
    <mergeCell ref="B17:E17"/>
    <mergeCell ref="B18:E18"/>
    <mergeCell ref="B11:E11"/>
    <mergeCell ref="B12:E12"/>
    <mergeCell ref="B13:E13"/>
    <mergeCell ref="B14:E14"/>
    <mergeCell ref="B15:E15"/>
    <mergeCell ref="G15:H15"/>
    <mergeCell ref="G18:H18"/>
    <mergeCell ref="G20:H20"/>
    <mergeCell ref="B22:E22"/>
    <mergeCell ref="B19:E19"/>
    <mergeCell ref="B20:E20"/>
    <mergeCell ref="B21:E21"/>
    <mergeCell ref="Z5:AB5"/>
    <mergeCell ref="Z6:AA6"/>
    <mergeCell ref="Z8:AA8"/>
    <mergeCell ref="Z9:AA9"/>
    <mergeCell ref="Z10:AA10"/>
    <mergeCell ref="Z16:AA16"/>
    <mergeCell ref="Z11:AA11"/>
    <mergeCell ref="Z12:AA12"/>
    <mergeCell ref="Z13:AA13"/>
    <mergeCell ref="Z14:AA14"/>
    <mergeCell ref="Z15:AA15"/>
    <mergeCell ref="G32:I32"/>
    <mergeCell ref="B33:D33"/>
    <mergeCell ref="H33:I33"/>
    <mergeCell ref="G40:I40"/>
    <mergeCell ref="B34:D34"/>
    <mergeCell ref="H34:I34"/>
    <mergeCell ref="B35:D35"/>
    <mergeCell ref="H35:I35"/>
    <mergeCell ref="B36:D36"/>
    <mergeCell ref="B42:D42"/>
    <mergeCell ref="B44:D44"/>
    <mergeCell ref="B37:D37"/>
    <mergeCell ref="B38:D38"/>
    <mergeCell ref="B39:D39"/>
    <mergeCell ref="B40:D40"/>
    <mergeCell ref="B41:D41"/>
    <mergeCell ref="B5:E5"/>
    <mergeCell ref="B6:E6"/>
    <mergeCell ref="B7:E7"/>
    <mergeCell ref="B31:D31"/>
    <mergeCell ref="B32:D32"/>
    <mergeCell ref="B29:E29"/>
    <mergeCell ref="B24:E24"/>
    <mergeCell ref="B28:E28"/>
    <mergeCell ref="B25:E25"/>
    <mergeCell ref="B26:E26"/>
    <mergeCell ref="B27:E27"/>
    <mergeCell ref="G7:H7"/>
    <mergeCell ref="A1:E1"/>
    <mergeCell ref="B2:E2"/>
    <mergeCell ref="G2:H2"/>
    <mergeCell ref="B3:E3"/>
    <mergeCell ref="G3:H3"/>
    <mergeCell ref="B4:E4"/>
    <mergeCell ref="G6:H6"/>
    <mergeCell ref="G4:H4"/>
    <mergeCell ref="G5:H5"/>
  </mergeCells>
  <conditionalFormatting sqref="B5">
    <cfRule type="containsText" dxfId="113" priority="1" operator="containsText" text="Terminé">
      <formula>NOT(ISERROR(SEARCH("Terminé",B5)))</formula>
    </cfRule>
    <cfRule type="containsText" dxfId="112" priority="2" operator="containsText" text="En cours">
      <formula>NOT(ISERROR(SEARCH("En cours",B5)))</formula>
    </cfRule>
    <cfRule type="containsText" dxfId="111" priority="3" operator="containsText" text="A faire">
      <formula>NOT(ISERROR(SEARCH("A faire",B5)))</formula>
    </cfRule>
  </conditionalFormatting>
  <hyperlinks>
    <hyperlink ref="L12" r:id="rId1" display="http://www.ef4.be/documents/eloral_images/qualiwatt-les-derniers-developpements-reglementaires-et-les-details-pratiques-de-la-mise-en-oeuvre-du-systeme-de-soutien.pdf"/>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28" orientation="portrait"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137</vt:i4>
      </vt:variant>
      <vt:variant>
        <vt:lpstr>Plages nommées</vt:lpstr>
      </vt:variant>
      <vt:variant>
        <vt:i4>12</vt:i4>
      </vt:variant>
    </vt:vector>
  </HeadingPairs>
  <TitlesOfParts>
    <vt:vector size="149" baseType="lpstr">
      <vt:lpstr>NUMEROTATION</vt:lpstr>
      <vt:lpstr>Objectifs CO2</vt:lpstr>
      <vt:lpstr>Objectifs ECO</vt:lpstr>
      <vt:lpstr>Objectifs PER</vt:lpstr>
      <vt:lpstr>Synthèse CO2</vt:lpstr>
      <vt:lpstr>Synthèse ECO</vt:lpstr>
      <vt:lpstr>Synthèse PER</vt:lpstr>
      <vt:lpstr>BUDGET ATTE</vt:lpstr>
      <vt:lpstr>BUDGET ADAPT</vt:lpstr>
      <vt:lpstr>CALENDRIER</vt:lpstr>
      <vt:lpstr>PRIORITES</vt:lpstr>
      <vt:lpstr>ADO-1</vt:lpstr>
      <vt:lpstr>ADO-2</vt:lpstr>
      <vt:lpstr>ADO-3</vt:lpstr>
      <vt:lpstr>ADO-4</vt:lpstr>
      <vt:lpstr>ADO-5</vt:lpstr>
      <vt:lpstr>ADO-6</vt:lpstr>
      <vt:lpstr>ADO-7</vt:lpstr>
      <vt:lpstr>ADO-8</vt:lpstr>
      <vt:lpstr>ADO-9</vt:lpstr>
      <vt:lpstr>ADO-10</vt:lpstr>
      <vt:lpstr>ADO-11</vt:lpstr>
      <vt:lpstr>ADO-20</vt:lpstr>
      <vt:lpstr>ADO-21</vt:lpstr>
      <vt:lpstr>ADO-22</vt:lpstr>
      <vt:lpstr>ADO-23</vt:lpstr>
      <vt:lpstr>ADO-24</vt:lpstr>
      <vt:lpstr>ADO-25</vt:lpstr>
      <vt:lpstr>ADO-26</vt:lpstr>
      <vt:lpstr>ADO-27</vt:lpstr>
      <vt:lpstr>ADO-28</vt:lpstr>
      <vt:lpstr>ADO-29</vt:lpstr>
      <vt:lpstr>ADO-30</vt:lpstr>
      <vt:lpstr>ADO-31</vt:lpstr>
      <vt:lpstr>ADO-32</vt:lpstr>
      <vt:lpstr>ADO-33</vt:lpstr>
      <vt:lpstr>ADO-34</vt:lpstr>
      <vt:lpstr>ADO-35</vt:lpstr>
      <vt:lpstr>ADO-36</vt:lpstr>
      <vt:lpstr>ADO-39</vt:lpstr>
      <vt:lpstr>ADO-40</vt:lpstr>
      <vt:lpstr>ADO-41</vt:lpstr>
      <vt:lpstr>ADU-1</vt:lpstr>
      <vt:lpstr>ADU-2</vt:lpstr>
      <vt:lpstr>ADU-3</vt:lpstr>
      <vt:lpstr>ADU-4</vt:lpstr>
      <vt:lpstr>ADU-5</vt:lpstr>
      <vt:lpstr>ADU-6</vt:lpstr>
      <vt:lpstr>ADU-7</vt:lpstr>
      <vt:lpstr>ADU-8</vt:lpstr>
      <vt:lpstr>ADU-9</vt:lpstr>
      <vt:lpstr>ADU-10</vt:lpstr>
      <vt:lpstr>ADU-11</vt:lpstr>
      <vt:lpstr>ADU-12</vt:lpstr>
      <vt:lpstr>ADU-13</vt:lpstr>
      <vt:lpstr>ADU-14</vt:lpstr>
      <vt:lpstr>ADU-15</vt:lpstr>
      <vt:lpstr>ADU-16</vt:lpstr>
      <vt:lpstr>ADU-17</vt:lpstr>
      <vt:lpstr>ADU-18</vt:lpstr>
      <vt:lpstr>ADU-19</vt:lpstr>
      <vt:lpstr>ADU-20</vt:lpstr>
      <vt:lpstr>ADU-21</vt:lpstr>
      <vt:lpstr>ADU-22</vt:lpstr>
      <vt:lpstr>ADU-23</vt:lpstr>
      <vt:lpstr>ADU-24</vt:lpstr>
      <vt:lpstr>ADU-25</vt:lpstr>
      <vt:lpstr>ADU-26</vt:lpstr>
      <vt:lpstr>ADU-27</vt:lpstr>
      <vt:lpstr>ADU-28</vt:lpstr>
      <vt:lpstr>ADU-30</vt:lpstr>
      <vt:lpstr>ADU-31</vt:lpstr>
      <vt:lpstr>ADU-32</vt:lpstr>
      <vt:lpstr>ADU-33</vt:lpstr>
      <vt:lpstr>ADU-34</vt:lpstr>
      <vt:lpstr>ADU-35</vt:lpstr>
      <vt:lpstr>ADU-50</vt:lpstr>
      <vt:lpstr>ADU-51</vt:lpstr>
      <vt:lpstr>ADU-52</vt:lpstr>
      <vt:lpstr>ADU-53</vt:lpstr>
      <vt:lpstr>ADU-54</vt:lpstr>
      <vt:lpstr>ADU-55</vt:lpstr>
      <vt:lpstr>ADU-56</vt:lpstr>
      <vt:lpstr>ADU-57</vt:lpstr>
      <vt:lpstr>ADU-58</vt:lpstr>
      <vt:lpstr>ADU-59</vt:lpstr>
      <vt:lpstr>ADU-60</vt:lpstr>
      <vt:lpstr>ADU-61</vt:lpstr>
      <vt:lpstr>ADU-62</vt:lpstr>
      <vt:lpstr>ADU-63</vt:lpstr>
      <vt:lpstr>ADU-64</vt:lpstr>
      <vt:lpstr>ADU-65</vt:lpstr>
      <vt:lpstr>ADU-70</vt:lpstr>
      <vt:lpstr>ADU-71</vt:lpstr>
      <vt:lpstr>ADU-72</vt:lpstr>
      <vt:lpstr>ADU-73</vt:lpstr>
      <vt:lpstr>ADU-74</vt:lpstr>
      <vt:lpstr>ADU-75</vt:lpstr>
      <vt:lpstr>ADU-76</vt:lpstr>
      <vt:lpstr>ADU-77</vt:lpstr>
      <vt:lpstr>ADU-80</vt:lpstr>
      <vt:lpstr>ADU-81</vt:lpstr>
      <vt:lpstr>ADU-82</vt:lpstr>
      <vt:lpstr>ADU-83</vt:lpstr>
      <vt:lpstr>ADU-90</vt:lpstr>
      <vt:lpstr>ADU-91</vt:lpstr>
      <vt:lpstr>ADU-92</vt:lpstr>
      <vt:lpstr>ADU-93</vt:lpstr>
      <vt:lpstr>ADU-94</vt:lpstr>
      <vt:lpstr>ADU-95</vt:lpstr>
      <vt:lpstr>ADU-100</vt:lpstr>
      <vt:lpstr>ADU-101</vt:lpstr>
      <vt:lpstr>ADU-102</vt:lpstr>
      <vt:lpstr>ADU-103</vt:lpstr>
      <vt:lpstr>ADU-121</vt:lpstr>
      <vt:lpstr>ADU-122</vt:lpstr>
      <vt:lpstr>ADU-123</vt:lpstr>
      <vt:lpstr>ADU-124</vt:lpstr>
      <vt:lpstr>ADU-140</vt:lpstr>
      <vt:lpstr>ADA-1</vt:lpstr>
      <vt:lpstr>ADA-2</vt:lpstr>
      <vt:lpstr>ADA-3</vt:lpstr>
      <vt:lpstr>ADA-4</vt:lpstr>
      <vt:lpstr>ADA-5</vt:lpstr>
      <vt:lpstr>ADA-6</vt:lpstr>
      <vt:lpstr>ADA-7</vt:lpstr>
      <vt:lpstr>ADA-8</vt:lpstr>
      <vt:lpstr>ADA-9</vt:lpstr>
      <vt:lpstr>ADA-10</vt:lpstr>
      <vt:lpstr>ADA-11</vt:lpstr>
      <vt:lpstr>ADA-12</vt:lpstr>
      <vt:lpstr>ADA-13</vt:lpstr>
      <vt:lpstr>ADA-20</vt:lpstr>
      <vt:lpstr>ADA-21</vt:lpstr>
      <vt:lpstr>ADA-22</vt:lpstr>
      <vt:lpstr>ADA-23</vt:lpstr>
      <vt:lpstr>Feuil12</vt:lpstr>
      <vt:lpstr>'ADO-21'!Zone_d_impression</vt:lpstr>
      <vt:lpstr>'ADO-25'!Zone_d_impression</vt:lpstr>
      <vt:lpstr>'ADO-27'!Zone_d_impression</vt:lpstr>
      <vt:lpstr>'ADO-41'!Zone_d_impression</vt:lpstr>
      <vt:lpstr>'ADO-6'!Zone_d_impression</vt:lpstr>
      <vt:lpstr>'ADU-100'!Zone_d_impression</vt:lpstr>
      <vt:lpstr>'ADU-3'!Zone_d_impression</vt:lpstr>
      <vt:lpstr>'ADU-70'!Zone_d_impression</vt:lpstr>
      <vt:lpstr>'ADU-71'!Zone_d_impression</vt:lpstr>
      <vt:lpstr>'Objectifs CO2'!Zone_d_impression</vt:lpstr>
      <vt:lpstr>'Objectifs ECO'!Zone_d_impression</vt:lpstr>
      <vt:lpstr>'Objectifs PER'!Zone_d_impression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Conrotte</dc:creator>
  <cp:lastModifiedBy>Daniel Conrotte</cp:lastModifiedBy>
  <cp:lastPrinted>2014-06-03T07:30:11Z</cp:lastPrinted>
  <dcterms:created xsi:type="dcterms:W3CDTF">2014-01-06T14:20:18Z</dcterms:created>
  <dcterms:modified xsi:type="dcterms:W3CDTF">2020-02-25T08:12:30Z</dcterms:modified>
</cp:coreProperties>
</file>